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5" yWindow="195" windowWidth="9885" windowHeight="10995" tabRatio="724" activeTab="0"/>
  </bookViews>
  <sheets>
    <sheet name="Data entry screen" sheetId="1" r:id="rId1"/>
    <sheet name="Subst. 1 scenario 1" sheetId="2" r:id="rId2"/>
    <sheet name="Subst. 1 scenario 2" sheetId="3" state="hidden" r:id="rId3"/>
    <sheet name="Subst. 1 scenario 3" sheetId="4" state="hidden" r:id="rId4"/>
    <sheet name="Subst. 1 scenario 4" sheetId="5" state="hidden" r:id="rId5"/>
    <sheet name="Predicted expo T-shirt&amp;shorts-1" sheetId="6" state="hidden" r:id="rId6"/>
    <sheet name="Subst. 2 scenario 1" sheetId="7" state="hidden" r:id="rId7"/>
    <sheet name="Subst. 2 scenario 2" sheetId="8" state="hidden" r:id="rId8"/>
    <sheet name="Subst. 2 scenario 3" sheetId="9" state="hidden" r:id="rId9"/>
    <sheet name="Subst. 2 scenario 4" sheetId="10" state="hidden" r:id="rId10"/>
    <sheet name="Subst. 3 scenario 1" sheetId="11" state="hidden" r:id="rId11"/>
    <sheet name="Subst. 3 scenario 2" sheetId="12" state="hidden" r:id="rId12"/>
    <sheet name="Subst. 3 scenario 3" sheetId="13" state="hidden" r:id="rId13"/>
    <sheet name="Subst. 3 scenario 4" sheetId="14" state="hidden" r:id="rId14"/>
    <sheet name="Subst. 4 scenario 1" sheetId="15" state="hidden" r:id="rId15"/>
    <sheet name="Subst. 4 scenario 2" sheetId="16" state="hidden" r:id="rId16"/>
    <sheet name="Subst. 4 scenario 3" sheetId="17" state="hidden" r:id="rId17"/>
    <sheet name="Subst. 4 scenario 4" sheetId="18" state="hidden" r:id="rId18"/>
    <sheet name="Predicted expo T-shirt&amp;shorts-2" sheetId="19" state="hidden" r:id="rId19"/>
    <sheet name="Predicted expo T-shirt&amp;shorts-3" sheetId="20" state="hidden" r:id="rId20"/>
    <sheet name="Predicted expo T-shirt&amp;shorts-4" sheetId="21" state="hidden" r:id="rId21"/>
    <sheet name="Calculations" sheetId="22" r:id="rId22"/>
    <sheet name="Notes" sheetId="23" r:id="rId23"/>
    <sheet name="Expo ML" sheetId="24" r:id="rId24"/>
    <sheet name="Expo Appl" sheetId="25" r:id="rId25"/>
    <sheet name="Indiv results ML" sheetId="26" r:id="rId26"/>
    <sheet name="Indiv results Appl" sheetId="27" r:id="rId27"/>
    <sheet name="Field recov" sheetId="28" r:id="rId28"/>
  </sheets>
  <definedNames>
    <definedName name="Application_method">'Calculations'!$C$6:$C$9</definedName>
    <definedName name="Formulation" localSheetId="0">'Calculations'!$B$6:$B$8</definedName>
    <definedName name="Formulation">'Calculations'!$B$6:$B$8</definedName>
    <definedName name="PPE_Appl_Body">'Calculations'!$I$6:$I$7</definedName>
    <definedName name="PPE_Appl_Hands">'Calculations'!$G$6:$G$7</definedName>
    <definedName name="PPE_Appl_Head">'Calculations'!$H$6:$H$8</definedName>
    <definedName name="PPE_Appl_Resp">'Calculations'!$F$6:$F$8</definedName>
    <definedName name="PPE_ML_hands">'Calculations'!$E$6:$E$7</definedName>
    <definedName name="PPE_ML_Resp">'Calculations'!$D$6:$D$8</definedName>
    <definedName name="_xlnm.Print_Area" localSheetId="0">'Data entry screen'!$A$1:$G$98</definedName>
    <definedName name="_xlnm.Print_Area" localSheetId="1">'Subst. 1 scenario 1'!$A$1:$H$33</definedName>
    <definedName name="_xlnm.Print_Area" localSheetId="2">'Subst. 1 scenario 2'!$A$1:$H$33</definedName>
    <definedName name="_xlnm.Print_Area" localSheetId="3">'Subst. 1 scenario 3'!$A$1:$H$33</definedName>
    <definedName name="_xlnm.Print_Area" localSheetId="4">'Subst. 1 scenario 4'!$A$1:$H$33</definedName>
    <definedName name="_xlnm.Print_Area" localSheetId="6">'Subst. 2 scenario 1'!$A$1:$H$33</definedName>
    <definedName name="_xlnm.Print_Area" localSheetId="7">'Subst. 2 scenario 2'!$A$1:$H$33</definedName>
    <definedName name="_xlnm.Print_Area" localSheetId="8">'Subst. 2 scenario 3'!$A$1:$H$33</definedName>
    <definedName name="_xlnm.Print_Area" localSheetId="9">'Subst. 2 scenario 4'!$A$1:$H$33</definedName>
    <definedName name="_xlnm.Print_Area" localSheetId="10">'Subst. 3 scenario 1'!$A$1:$H$33</definedName>
    <definedName name="_xlnm.Print_Area" localSheetId="11">'Subst. 3 scenario 2'!$A$1:$H$33</definedName>
    <definedName name="_xlnm.Print_Area" localSheetId="12">'Subst. 3 scenario 3'!$A$1:$H$33</definedName>
    <definedName name="_xlnm.Print_Area" localSheetId="13">'Subst. 3 scenario 4'!$A$1:$H$33</definedName>
    <definedName name="_xlnm.Print_Area" localSheetId="14">'Subst. 4 scenario 1'!$A$1:$H$33</definedName>
    <definedName name="_xlnm.Print_Area" localSheetId="15">'Subst. 4 scenario 2'!$A$1:$H$33</definedName>
    <definedName name="_xlnm.Print_Area" localSheetId="16">'Subst. 4 scenario 3'!$A$1:$H$33</definedName>
    <definedName name="_xlnm.Print_Area" localSheetId="17">'Subst. 4 scenario 4'!$A$1:$H$33</definedName>
    <definedName name="solver_adj" localSheetId="1" hidden="1">'Subst. 1 scenario 1'!$B$5</definedName>
    <definedName name="solver_adj" localSheetId="2" hidden="1">'Subst. 1 scenario 2'!$B$5</definedName>
    <definedName name="solver_adj" localSheetId="3" hidden="1">'Subst. 1 scenario 3'!$B$5</definedName>
    <definedName name="solver_adj" localSheetId="4" hidden="1">'Subst. 1 scenario 4'!$B$5</definedName>
    <definedName name="solver_adj" localSheetId="6" hidden="1">'Subst. 2 scenario 1'!$B$5</definedName>
    <definedName name="solver_adj" localSheetId="7" hidden="1">'Subst. 2 scenario 2'!$B$5</definedName>
    <definedName name="solver_adj" localSheetId="8" hidden="1">'Subst. 2 scenario 3'!$B$5</definedName>
    <definedName name="solver_adj" localSheetId="9" hidden="1">'Subst. 2 scenario 4'!$B$5</definedName>
    <definedName name="solver_adj" localSheetId="10" hidden="1">'Subst. 3 scenario 1'!$B$5</definedName>
    <definedName name="solver_adj" localSheetId="11" hidden="1">'Subst. 3 scenario 2'!$B$5</definedName>
    <definedName name="solver_adj" localSheetId="12" hidden="1">'Subst. 3 scenario 3'!$B$5</definedName>
    <definedName name="solver_adj" localSheetId="13" hidden="1">'Subst. 3 scenario 4'!$B$5</definedName>
    <definedName name="solver_adj" localSheetId="14" hidden="1">'Subst. 4 scenario 1'!$B$5</definedName>
    <definedName name="solver_adj" localSheetId="15" hidden="1">'Subst. 4 scenario 2'!$B$5</definedName>
    <definedName name="solver_adj" localSheetId="16" hidden="1">'Subst. 4 scenario 3'!$B$5</definedName>
    <definedName name="solver_adj" localSheetId="17" hidden="1">'Subst. 4 scenario 4'!$B$5</definedName>
    <definedName name="solver_cvg" localSheetId="1" hidden="1">0.0001</definedName>
    <definedName name="solver_cvg" localSheetId="2" hidden="1">0.0001</definedName>
    <definedName name="solver_cvg" localSheetId="3" hidden="1">0.0001</definedName>
    <definedName name="solver_cvg" localSheetId="4" hidden="1">0.0001</definedName>
    <definedName name="solver_cvg" localSheetId="6" hidden="1">0.0001</definedName>
    <definedName name="solver_cvg" localSheetId="7" hidden="1">0.0001</definedName>
    <definedName name="solver_cvg" localSheetId="8" hidden="1">0.0001</definedName>
    <definedName name="solver_cvg" localSheetId="9" hidden="1">0.0001</definedName>
    <definedName name="solver_cvg" localSheetId="10" hidden="1">0.0001</definedName>
    <definedName name="solver_cvg" localSheetId="11" hidden="1">0.0001</definedName>
    <definedName name="solver_cvg" localSheetId="12" hidden="1">0.0001</definedName>
    <definedName name="solver_cvg" localSheetId="13" hidden="1">0.0001</definedName>
    <definedName name="solver_cvg" localSheetId="14" hidden="1">0.0001</definedName>
    <definedName name="solver_cvg" localSheetId="15" hidden="1">0.0001</definedName>
    <definedName name="solver_cvg" localSheetId="16" hidden="1">0.0001</definedName>
    <definedName name="solver_cvg" localSheetId="17" hidden="1">0.0001</definedName>
    <definedName name="solver_drv" localSheetId="1" hidden="1">1</definedName>
    <definedName name="solver_drv" localSheetId="2" hidden="1">1</definedName>
    <definedName name="solver_drv" localSheetId="3" hidden="1">1</definedName>
    <definedName name="solver_drv" localSheetId="4" hidden="1">1</definedName>
    <definedName name="solver_drv" localSheetId="6" hidden="1">1</definedName>
    <definedName name="solver_drv" localSheetId="7" hidden="1">1</definedName>
    <definedName name="solver_drv" localSheetId="8" hidden="1">1</definedName>
    <definedName name="solver_drv" localSheetId="9" hidden="1">1</definedName>
    <definedName name="solver_drv" localSheetId="10" hidden="1">1</definedName>
    <definedName name="solver_drv" localSheetId="11" hidden="1">1</definedName>
    <definedName name="solver_drv" localSheetId="12" hidden="1">1</definedName>
    <definedName name="solver_drv" localSheetId="13" hidden="1">1</definedName>
    <definedName name="solver_drv" localSheetId="14" hidden="1">1</definedName>
    <definedName name="solver_drv" localSheetId="15" hidden="1">1</definedName>
    <definedName name="solver_drv" localSheetId="16" hidden="1">1</definedName>
    <definedName name="solver_drv" localSheetId="17" hidden="1">1</definedName>
    <definedName name="solver_est" localSheetId="1" hidden="1">1</definedName>
    <definedName name="solver_est" localSheetId="2" hidden="1">1</definedName>
    <definedName name="solver_est" localSheetId="3" hidden="1">1</definedName>
    <definedName name="solver_est" localSheetId="4" hidden="1">1</definedName>
    <definedName name="solver_est" localSheetId="6" hidden="1">1</definedName>
    <definedName name="solver_est" localSheetId="7" hidden="1">1</definedName>
    <definedName name="solver_est" localSheetId="8" hidden="1">1</definedName>
    <definedName name="solver_est" localSheetId="9" hidden="1">1</definedName>
    <definedName name="solver_est" localSheetId="10" hidden="1">1</definedName>
    <definedName name="solver_est" localSheetId="11" hidden="1">1</definedName>
    <definedName name="solver_est" localSheetId="12" hidden="1">1</definedName>
    <definedName name="solver_est" localSheetId="13" hidden="1">1</definedName>
    <definedName name="solver_est" localSheetId="14" hidden="1">1</definedName>
    <definedName name="solver_est" localSheetId="15" hidden="1">1</definedName>
    <definedName name="solver_est" localSheetId="16" hidden="1">1</definedName>
    <definedName name="solver_est" localSheetId="17" hidden="1">1</definedName>
    <definedName name="solver_itr" localSheetId="1" hidden="1">100</definedName>
    <definedName name="solver_itr" localSheetId="2" hidden="1">100</definedName>
    <definedName name="solver_itr" localSheetId="3" hidden="1">100</definedName>
    <definedName name="solver_itr" localSheetId="4" hidden="1">100</definedName>
    <definedName name="solver_itr" localSheetId="6" hidden="1">100</definedName>
    <definedName name="solver_itr" localSheetId="7" hidden="1">100</definedName>
    <definedName name="solver_itr" localSheetId="8" hidden="1">100</definedName>
    <definedName name="solver_itr" localSheetId="9" hidden="1">100</definedName>
    <definedName name="solver_itr" localSheetId="10" hidden="1">100</definedName>
    <definedName name="solver_itr" localSheetId="11" hidden="1">100</definedName>
    <definedName name="solver_itr" localSheetId="12" hidden="1">100</definedName>
    <definedName name="solver_itr" localSheetId="13" hidden="1">100</definedName>
    <definedName name="solver_itr" localSheetId="14" hidden="1">100</definedName>
    <definedName name="solver_itr" localSheetId="15" hidden="1">100</definedName>
    <definedName name="solver_itr" localSheetId="16" hidden="1">100</definedName>
    <definedName name="solver_itr" localSheetId="17" hidden="1">100</definedName>
    <definedName name="solver_lin" localSheetId="1" hidden="1">2</definedName>
    <definedName name="solver_lin" localSheetId="2" hidden="1">2</definedName>
    <definedName name="solver_lin" localSheetId="3" hidden="1">2</definedName>
    <definedName name="solver_lin" localSheetId="4" hidden="1">2</definedName>
    <definedName name="solver_lin" localSheetId="6" hidden="1">2</definedName>
    <definedName name="solver_lin" localSheetId="7" hidden="1">2</definedName>
    <definedName name="solver_lin" localSheetId="8" hidden="1">2</definedName>
    <definedName name="solver_lin" localSheetId="9" hidden="1">2</definedName>
    <definedName name="solver_lin" localSheetId="10" hidden="1">2</definedName>
    <definedName name="solver_lin" localSheetId="11" hidden="1">2</definedName>
    <definedName name="solver_lin" localSheetId="12" hidden="1">2</definedName>
    <definedName name="solver_lin" localSheetId="13" hidden="1">2</definedName>
    <definedName name="solver_lin" localSheetId="14" hidden="1">2</definedName>
    <definedName name="solver_lin" localSheetId="15" hidden="1">2</definedName>
    <definedName name="solver_lin" localSheetId="16" hidden="1">2</definedName>
    <definedName name="solver_lin" localSheetId="17" hidden="1">2</definedName>
    <definedName name="solver_neg" localSheetId="1" hidden="1">2</definedName>
    <definedName name="solver_neg" localSheetId="2" hidden="1">2</definedName>
    <definedName name="solver_neg" localSheetId="3" hidden="1">2</definedName>
    <definedName name="solver_neg" localSheetId="4" hidden="1">2</definedName>
    <definedName name="solver_neg" localSheetId="6" hidden="1">2</definedName>
    <definedName name="solver_neg" localSheetId="7" hidden="1">2</definedName>
    <definedName name="solver_neg" localSheetId="8" hidden="1">2</definedName>
    <definedName name="solver_neg" localSheetId="9" hidden="1">2</definedName>
    <definedName name="solver_neg" localSheetId="10" hidden="1">2</definedName>
    <definedName name="solver_neg" localSheetId="11" hidden="1">2</definedName>
    <definedName name="solver_neg" localSheetId="12" hidden="1">2</definedName>
    <definedName name="solver_neg" localSheetId="13" hidden="1">2</definedName>
    <definedName name="solver_neg" localSheetId="14" hidden="1">2</definedName>
    <definedName name="solver_neg" localSheetId="15" hidden="1">2</definedName>
    <definedName name="solver_neg" localSheetId="16" hidden="1">2</definedName>
    <definedName name="solver_neg" localSheetId="17" hidden="1">2</definedName>
    <definedName name="solver_num" localSheetId="1" hidden="1">0</definedName>
    <definedName name="solver_num" localSheetId="2" hidden="1">0</definedName>
    <definedName name="solver_num" localSheetId="3" hidden="1">0</definedName>
    <definedName name="solver_num" localSheetId="4" hidden="1">0</definedName>
    <definedName name="solver_num" localSheetId="6" hidden="1">0</definedName>
    <definedName name="solver_num" localSheetId="7" hidden="1">0</definedName>
    <definedName name="solver_num" localSheetId="8" hidden="1">0</definedName>
    <definedName name="solver_num" localSheetId="9" hidden="1">0</definedName>
    <definedName name="solver_num" localSheetId="10" hidden="1">0</definedName>
    <definedName name="solver_num" localSheetId="11" hidden="1">0</definedName>
    <definedName name="solver_num" localSheetId="12" hidden="1">0</definedName>
    <definedName name="solver_num" localSheetId="13" hidden="1">0</definedName>
    <definedName name="solver_num" localSheetId="14" hidden="1">0</definedName>
    <definedName name="solver_num" localSheetId="15" hidden="1">0</definedName>
    <definedName name="solver_num" localSheetId="16" hidden="1">0</definedName>
    <definedName name="solver_num" localSheetId="17" hidden="1">0</definedName>
    <definedName name="solver_nwt" localSheetId="1" hidden="1">1</definedName>
    <definedName name="solver_nwt" localSheetId="2" hidden="1">1</definedName>
    <definedName name="solver_nwt" localSheetId="3" hidden="1">1</definedName>
    <definedName name="solver_nwt" localSheetId="4" hidden="1">1</definedName>
    <definedName name="solver_nwt" localSheetId="6" hidden="1">1</definedName>
    <definedName name="solver_nwt" localSheetId="7" hidden="1">1</definedName>
    <definedName name="solver_nwt" localSheetId="8" hidden="1">1</definedName>
    <definedName name="solver_nwt" localSheetId="9" hidden="1">1</definedName>
    <definedName name="solver_nwt" localSheetId="10" hidden="1">1</definedName>
    <definedName name="solver_nwt" localSheetId="11" hidden="1">1</definedName>
    <definedName name="solver_nwt" localSheetId="12" hidden="1">1</definedName>
    <definedName name="solver_nwt" localSheetId="13" hidden="1">1</definedName>
    <definedName name="solver_nwt" localSheetId="14" hidden="1">1</definedName>
    <definedName name="solver_nwt" localSheetId="15" hidden="1">1</definedName>
    <definedName name="solver_nwt" localSheetId="16" hidden="1">1</definedName>
    <definedName name="solver_nwt" localSheetId="17" hidden="1">1</definedName>
    <definedName name="solver_opt" localSheetId="1" hidden="1">'Subst. 1 scenario 1'!$D$16</definedName>
    <definedName name="solver_opt" localSheetId="2" hidden="1">'Subst. 1 scenario 2'!$C$16</definedName>
    <definedName name="solver_opt" localSheetId="3" hidden="1">'Subst. 1 scenario 3'!$C$16</definedName>
    <definedName name="solver_opt" localSheetId="4" hidden="1">'Subst. 1 scenario 4'!$C$16</definedName>
    <definedName name="solver_opt" localSheetId="6" hidden="1">'Subst. 2 scenario 1'!$C$16</definedName>
    <definedName name="solver_opt" localSheetId="7" hidden="1">'Subst. 2 scenario 2'!$C$16</definedName>
    <definedName name="solver_opt" localSheetId="8" hidden="1">'Subst. 2 scenario 3'!$C$16</definedName>
    <definedName name="solver_opt" localSheetId="9" hidden="1">'Subst. 2 scenario 4'!$C$16</definedName>
    <definedName name="solver_opt" localSheetId="10" hidden="1">'Subst. 3 scenario 1'!$C$16</definedName>
    <definedName name="solver_opt" localSheetId="11" hidden="1">'Subst. 3 scenario 2'!$C$16</definedName>
    <definedName name="solver_opt" localSheetId="12" hidden="1">'Subst. 3 scenario 3'!$C$16</definedName>
    <definedName name="solver_opt" localSheetId="13" hidden="1">'Subst. 3 scenario 4'!$C$16</definedName>
    <definedName name="solver_opt" localSheetId="14" hidden="1">'Subst. 4 scenario 1'!$C$16</definedName>
    <definedName name="solver_opt" localSheetId="15" hidden="1">'Subst. 4 scenario 2'!$C$16</definedName>
    <definedName name="solver_opt" localSheetId="16" hidden="1">'Subst. 4 scenario 3'!$C$16</definedName>
    <definedName name="solver_opt" localSheetId="17" hidden="1">'Subst. 4 scenario 4'!$C$16</definedName>
    <definedName name="solver_pre" localSheetId="1" hidden="1">0.000001</definedName>
    <definedName name="solver_pre" localSheetId="2" hidden="1">0.000001</definedName>
    <definedName name="solver_pre" localSheetId="3" hidden="1">0.000001</definedName>
    <definedName name="solver_pre" localSheetId="4" hidden="1">0.000001</definedName>
    <definedName name="solver_pre" localSheetId="6" hidden="1">0.000001</definedName>
    <definedName name="solver_pre" localSheetId="7" hidden="1">0.000001</definedName>
    <definedName name="solver_pre" localSheetId="8" hidden="1">0.000001</definedName>
    <definedName name="solver_pre" localSheetId="9" hidden="1">0.000001</definedName>
    <definedName name="solver_pre" localSheetId="10" hidden="1">0.000001</definedName>
    <definedName name="solver_pre" localSheetId="11" hidden="1">0.000001</definedName>
    <definedName name="solver_pre" localSheetId="12" hidden="1">0.000001</definedName>
    <definedName name="solver_pre" localSheetId="13" hidden="1">0.000001</definedName>
    <definedName name="solver_pre" localSheetId="14" hidden="1">0.000001</definedName>
    <definedName name="solver_pre" localSheetId="15" hidden="1">0.000001</definedName>
    <definedName name="solver_pre" localSheetId="16" hidden="1">0.000001</definedName>
    <definedName name="solver_pre" localSheetId="17" hidden="1">0.000001</definedName>
    <definedName name="solver_scl" localSheetId="1" hidden="1">2</definedName>
    <definedName name="solver_scl" localSheetId="2" hidden="1">2</definedName>
    <definedName name="solver_scl" localSheetId="3" hidden="1">2</definedName>
    <definedName name="solver_scl" localSheetId="4" hidden="1">2</definedName>
    <definedName name="solver_scl" localSheetId="6" hidden="1">2</definedName>
    <definedName name="solver_scl" localSheetId="7" hidden="1">2</definedName>
    <definedName name="solver_scl" localSheetId="8" hidden="1">2</definedName>
    <definedName name="solver_scl" localSheetId="9" hidden="1">2</definedName>
    <definedName name="solver_scl" localSheetId="10" hidden="1">2</definedName>
    <definedName name="solver_scl" localSheetId="11" hidden="1">2</definedName>
    <definedName name="solver_scl" localSheetId="12" hidden="1">2</definedName>
    <definedName name="solver_scl" localSheetId="13" hidden="1">2</definedName>
    <definedName name="solver_scl" localSheetId="14" hidden="1">2</definedName>
    <definedName name="solver_scl" localSheetId="15" hidden="1">2</definedName>
    <definedName name="solver_scl" localSheetId="16" hidden="1">2</definedName>
    <definedName name="solver_scl" localSheetId="17" hidden="1">2</definedName>
    <definedName name="solver_sho" localSheetId="1" hidden="1">2</definedName>
    <definedName name="solver_sho" localSheetId="2" hidden="1">2</definedName>
    <definedName name="solver_sho" localSheetId="3" hidden="1">2</definedName>
    <definedName name="solver_sho" localSheetId="4" hidden="1">2</definedName>
    <definedName name="solver_sho" localSheetId="6" hidden="1">2</definedName>
    <definedName name="solver_sho" localSheetId="7" hidden="1">2</definedName>
    <definedName name="solver_sho" localSheetId="8" hidden="1">2</definedName>
    <definedName name="solver_sho" localSheetId="9" hidden="1">2</definedName>
    <definedName name="solver_sho" localSheetId="10" hidden="1">2</definedName>
    <definedName name="solver_sho" localSheetId="11" hidden="1">2</definedName>
    <definedName name="solver_sho" localSheetId="12" hidden="1">2</definedName>
    <definedName name="solver_sho" localSheetId="13" hidden="1">2</definedName>
    <definedName name="solver_sho" localSheetId="14" hidden="1">2</definedName>
    <definedName name="solver_sho" localSheetId="15" hidden="1">2</definedName>
    <definedName name="solver_sho" localSheetId="16" hidden="1">2</definedName>
    <definedName name="solver_sho" localSheetId="17" hidden="1">2</definedName>
    <definedName name="solver_tim" localSheetId="1" hidden="1">100</definedName>
    <definedName name="solver_tim" localSheetId="2" hidden="1">100</definedName>
    <definedName name="solver_tim" localSheetId="3" hidden="1">100</definedName>
    <definedName name="solver_tim" localSheetId="4" hidden="1">100</definedName>
    <definedName name="solver_tim" localSheetId="6" hidden="1">100</definedName>
    <definedName name="solver_tim" localSheetId="7" hidden="1">100</definedName>
    <definedName name="solver_tim" localSheetId="8" hidden="1">100</definedName>
    <definedName name="solver_tim" localSheetId="9" hidden="1">100</definedName>
    <definedName name="solver_tim" localSheetId="10" hidden="1">100</definedName>
    <definedName name="solver_tim" localSheetId="11" hidden="1">100</definedName>
    <definedName name="solver_tim" localSheetId="12" hidden="1">100</definedName>
    <definedName name="solver_tim" localSheetId="13" hidden="1">100</definedName>
    <definedName name="solver_tim" localSheetId="14" hidden="1">100</definedName>
    <definedName name="solver_tim" localSheetId="15" hidden="1">100</definedName>
    <definedName name="solver_tim" localSheetId="16" hidden="1">100</definedName>
    <definedName name="solver_tim" localSheetId="17" hidden="1">100</definedName>
    <definedName name="solver_tol" localSheetId="1" hidden="1">0.05</definedName>
    <definedName name="solver_tol" localSheetId="2" hidden="1">0.05</definedName>
    <definedName name="solver_tol" localSheetId="3" hidden="1">0.05</definedName>
    <definedName name="solver_tol" localSheetId="4" hidden="1">0.05</definedName>
    <definedName name="solver_tol" localSheetId="6" hidden="1">0.05</definedName>
    <definedName name="solver_tol" localSheetId="7" hidden="1">0.05</definedName>
    <definedName name="solver_tol" localSheetId="8" hidden="1">0.05</definedName>
    <definedName name="solver_tol" localSheetId="9" hidden="1">0.05</definedName>
    <definedName name="solver_tol" localSheetId="10" hidden="1">0.05</definedName>
    <definedName name="solver_tol" localSheetId="11" hidden="1">0.05</definedName>
    <definedName name="solver_tol" localSheetId="12" hidden="1">0.05</definedName>
    <definedName name="solver_tol" localSheetId="13" hidden="1">0.05</definedName>
    <definedName name="solver_tol" localSheetId="14" hidden="1">0.05</definedName>
    <definedName name="solver_tol" localSheetId="15" hidden="1">0.05</definedName>
    <definedName name="solver_tol" localSheetId="16" hidden="1">0.05</definedName>
    <definedName name="solver_tol" localSheetId="17" hidden="1">0.05</definedName>
    <definedName name="solver_typ" localSheetId="1" hidden="1">3</definedName>
    <definedName name="solver_typ" localSheetId="2" hidden="1">3</definedName>
    <definedName name="solver_typ" localSheetId="3" hidden="1">3</definedName>
    <definedName name="solver_typ" localSheetId="4" hidden="1">3</definedName>
    <definedName name="solver_typ" localSheetId="6" hidden="1">3</definedName>
    <definedName name="solver_typ" localSheetId="7" hidden="1">3</definedName>
    <definedName name="solver_typ" localSheetId="8" hidden="1">3</definedName>
    <definedName name="solver_typ" localSheetId="9" hidden="1">3</definedName>
    <definedName name="solver_typ" localSheetId="10" hidden="1">3</definedName>
    <definedName name="solver_typ" localSheetId="11" hidden="1">3</definedName>
    <definedName name="solver_typ" localSheetId="12" hidden="1">3</definedName>
    <definedName name="solver_typ" localSheetId="13" hidden="1">3</definedName>
    <definedName name="solver_typ" localSheetId="14" hidden="1">3</definedName>
    <definedName name="solver_typ" localSheetId="15" hidden="1">3</definedName>
    <definedName name="solver_typ" localSheetId="16" hidden="1">3</definedName>
    <definedName name="solver_typ" localSheetId="17" hidden="1">3</definedName>
    <definedName name="solver_val" localSheetId="1" hidden="1">7.5</definedName>
    <definedName name="solver_val" localSheetId="2" hidden="1">7.5</definedName>
    <definedName name="solver_val" localSheetId="3" hidden="1">7.5</definedName>
    <definedName name="solver_val" localSheetId="4" hidden="1">7.5</definedName>
    <definedName name="solver_val" localSheetId="6" hidden="1">7.5</definedName>
    <definedName name="solver_val" localSheetId="7" hidden="1">7.5</definedName>
    <definedName name="solver_val" localSheetId="8" hidden="1">7.5</definedName>
    <definedName name="solver_val" localSheetId="9" hidden="1">7.5</definedName>
    <definedName name="solver_val" localSheetId="10" hidden="1">7.5</definedName>
    <definedName name="solver_val" localSheetId="11" hidden="1">7.5</definedName>
    <definedName name="solver_val" localSheetId="12" hidden="1">7.5</definedName>
    <definedName name="solver_val" localSheetId="13" hidden="1">7.5</definedName>
    <definedName name="solver_val" localSheetId="14" hidden="1">7.5</definedName>
    <definedName name="solver_val" localSheetId="15" hidden="1">7.5</definedName>
    <definedName name="solver_val" localSheetId="16" hidden="1">7.5</definedName>
    <definedName name="solver_val" localSheetId="17" hidden="1">7.5</definedName>
    <definedName name="Work_rate">'Calculations'!$J$6:$J$8</definedName>
  </definedNames>
  <calcPr fullCalcOnLoad="1"/>
</workbook>
</file>

<file path=xl/comments23.xml><?xml version="1.0" encoding="utf-8"?>
<comments xmlns="http://schemas.openxmlformats.org/spreadsheetml/2006/main">
  <authors>
    <author>isabelle</author>
  </authors>
  <commentList>
    <comment ref="C41" authorId="0">
      <text>
        <r>
          <rPr>
            <b/>
            <sz val="8"/>
            <rFont val="Tahoma"/>
            <family val="2"/>
          </rPr>
          <t>isabelle:</t>
        </r>
        <r>
          <rPr>
            <sz val="8"/>
            <rFont val="Tahoma"/>
            <family val="2"/>
          </rPr>
          <t xml:space="preserve">
from potential dermal body (or potential lower body when impervious trousers)</t>
        </r>
      </text>
    </comment>
  </commentList>
</comments>
</file>

<file path=xl/comments25.xml><?xml version="1.0" encoding="utf-8"?>
<comments xmlns="http://schemas.openxmlformats.org/spreadsheetml/2006/main">
  <authors>
    <author>Administrateur</author>
  </authors>
  <commentList>
    <comment ref="J1" authorId="0">
      <text>
        <r>
          <rPr>
            <b/>
            <sz val="8"/>
            <rFont val="Tahoma"/>
            <family val="2"/>
          </rPr>
          <t>CEHTRA: 
whole INNER body dosimeter 
+ OUTER half upper arms, lower arms, upper and lower legs</t>
        </r>
        <r>
          <rPr>
            <sz val="8"/>
            <rFont val="Tahoma"/>
            <family val="2"/>
          </rPr>
          <t xml:space="preserve">
</t>
        </r>
      </text>
    </comment>
  </commentList>
</comments>
</file>

<file path=xl/comments26.xml><?xml version="1.0" encoding="utf-8"?>
<comments xmlns="http://schemas.openxmlformats.org/spreadsheetml/2006/main">
  <authors>
    <author>Administrateur</author>
  </authors>
  <commentList>
    <comment ref="G1" authorId="0">
      <text>
        <r>
          <rPr>
            <b/>
            <sz val="8"/>
            <rFont val="Tahoma"/>
            <family val="2"/>
          </rPr>
          <t>Administrateur:</t>
        </r>
        <r>
          <rPr>
            <sz val="8"/>
            <rFont val="Tahoma"/>
            <family val="2"/>
          </rPr>
          <t xml:space="preserve">
calculated using 14 L/min</t>
        </r>
      </text>
    </comment>
    <comment ref="F36" authorId="0">
      <text>
        <r>
          <rPr>
            <b/>
            <sz val="8"/>
            <rFont val="Tahoma"/>
            <family val="2"/>
          </rPr>
          <t>Administrateur:</t>
        </r>
        <r>
          <rPr>
            <sz val="8"/>
            <rFont val="Tahoma"/>
            <family val="2"/>
          </rPr>
          <t xml:space="preserve">
LOQ = 0.1 µg replaced by 1/2 LOQ</t>
        </r>
      </text>
    </comment>
    <comment ref="F38" authorId="0">
      <text>
        <r>
          <rPr>
            <b/>
            <sz val="8"/>
            <rFont val="Tahoma"/>
            <family val="2"/>
          </rPr>
          <t>Administrateur:</t>
        </r>
        <r>
          <rPr>
            <sz val="8"/>
            <rFont val="Tahoma"/>
            <family val="2"/>
          </rPr>
          <t xml:space="preserve">
LOQ = 0.1 µgreplaced by 1/2 LOQ</t>
        </r>
      </text>
    </comment>
    <comment ref="F44" authorId="0">
      <text>
        <r>
          <rPr>
            <b/>
            <sz val="8"/>
            <rFont val="Tahoma"/>
            <family val="2"/>
          </rPr>
          <t>Administrateur:</t>
        </r>
        <r>
          <rPr>
            <sz val="8"/>
            <rFont val="Tahoma"/>
            <family val="2"/>
          </rPr>
          <t xml:space="preserve">
LOQ = 0.1 µg replaced by 1/2 LOQ</t>
        </r>
      </text>
    </comment>
    <comment ref="B75" authorId="0">
      <text>
        <r>
          <rPr>
            <b/>
            <sz val="8"/>
            <rFont val="Tahoma"/>
            <family val="2"/>
          </rPr>
          <t>Administrateur:</t>
        </r>
        <r>
          <rPr>
            <sz val="8"/>
            <rFont val="Tahoma"/>
            <family val="2"/>
          </rPr>
          <t xml:space="preserve">
LOQ = 4 µg replaced by 1/2 LOQ</t>
        </r>
      </text>
    </comment>
    <comment ref="B77" authorId="0">
      <text>
        <r>
          <rPr>
            <b/>
            <sz val="8"/>
            <rFont val="Tahoma"/>
            <family val="2"/>
          </rPr>
          <t>Administrateur:</t>
        </r>
        <r>
          <rPr>
            <sz val="8"/>
            <rFont val="Tahoma"/>
            <family val="2"/>
          </rPr>
          <t xml:space="preserve">
LOQ = 4 µg replaced by 1/2 LOQ</t>
        </r>
      </text>
    </comment>
    <comment ref="B89" authorId="0">
      <text>
        <r>
          <rPr>
            <b/>
            <sz val="8"/>
            <rFont val="Tahoma"/>
            <family val="2"/>
          </rPr>
          <t>Administrateur:</t>
        </r>
        <r>
          <rPr>
            <sz val="8"/>
            <rFont val="Tahoma"/>
            <family val="2"/>
          </rPr>
          <t xml:space="preserve">
LOQ = 4 µg replaced by 1/2 LOQ</t>
        </r>
      </text>
    </comment>
    <comment ref="B91" authorId="0">
      <text>
        <r>
          <rPr>
            <b/>
            <sz val="8"/>
            <rFont val="Tahoma"/>
            <family val="2"/>
          </rPr>
          <t>Administrateur:</t>
        </r>
        <r>
          <rPr>
            <sz val="8"/>
            <rFont val="Tahoma"/>
            <family val="2"/>
          </rPr>
          <t xml:space="preserve">
LOQ = 4 µg replaced by 1/2 LOQ</t>
        </r>
      </text>
    </comment>
    <comment ref="B93" authorId="0">
      <text>
        <r>
          <rPr>
            <b/>
            <sz val="8"/>
            <rFont val="Tahoma"/>
            <family val="2"/>
          </rPr>
          <t>Administrateur:</t>
        </r>
        <r>
          <rPr>
            <sz val="8"/>
            <rFont val="Tahoma"/>
            <family val="2"/>
          </rPr>
          <t xml:space="preserve">
LOQ = 4 µg replaced by 1/2 LOQ</t>
        </r>
      </text>
    </comment>
    <comment ref="F131" authorId="0">
      <text>
        <r>
          <rPr>
            <b/>
            <sz val="8"/>
            <rFont val="Tahoma"/>
            <family val="2"/>
          </rPr>
          <t>Administrateur:</t>
        </r>
        <r>
          <rPr>
            <sz val="8"/>
            <rFont val="Tahoma"/>
            <family val="2"/>
          </rPr>
          <t xml:space="preserve">
LOQ = 0.1 µg replaced by 1/2 LOQ</t>
        </r>
      </text>
    </comment>
    <comment ref="F137" authorId="0">
      <text>
        <r>
          <rPr>
            <b/>
            <sz val="8"/>
            <rFont val="Tahoma"/>
            <family val="2"/>
          </rPr>
          <t>Administrateur:</t>
        </r>
        <r>
          <rPr>
            <sz val="8"/>
            <rFont val="Tahoma"/>
            <family val="2"/>
          </rPr>
          <t xml:space="preserve">
LOQ = 0.1 µg replaced by 1/2 LOQ</t>
        </r>
      </text>
    </comment>
    <comment ref="F140" authorId="0">
      <text>
        <r>
          <rPr>
            <b/>
            <sz val="8"/>
            <rFont val="Tahoma"/>
            <family val="2"/>
          </rPr>
          <t>Administrateur:</t>
        </r>
        <r>
          <rPr>
            <sz val="8"/>
            <rFont val="Tahoma"/>
            <family val="2"/>
          </rPr>
          <t xml:space="preserve">
LOQ = 0.1 µg replaced by 1/2 LOQ</t>
        </r>
      </text>
    </comment>
    <comment ref="F146" authorId="0">
      <text>
        <r>
          <rPr>
            <b/>
            <sz val="8"/>
            <rFont val="Tahoma"/>
            <family val="2"/>
          </rPr>
          <t>Administrateur:</t>
        </r>
        <r>
          <rPr>
            <sz val="8"/>
            <rFont val="Tahoma"/>
            <family val="2"/>
          </rPr>
          <t xml:space="preserve">
LOQ = 0.1 µg replaced by 1/2 LOQ</t>
        </r>
      </text>
    </comment>
    <comment ref="F149" authorId="0">
      <text>
        <r>
          <rPr>
            <b/>
            <sz val="8"/>
            <rFont val="Tahoma"/>
            <family val="2"/>
          </rPr>
          <t>Administrateur:</t>
        </r>
        <r>
          <rPr>
            <sz val="8"/>
            <rFont val="Tahoma"/>
            <family val="2"/>
          </rPr>
          <t xml:space="preserve">
LOQ = 0.1 µg replaced by 1/2 LOQ</t>
        </r>
      </text>
    </comment>
    <comment ref="F152" authorId="0">
      <text>
        <r>
          <rPr>
            <b/>
            <sz val="8"/>
            <rFont val="Tahoma"/>
            <family val="2"/>
          </rPr>
          <t>Administrateur:</t>
        </r>
        <r>
          <rPr>
            <sz val="8"/>
            <rFont val="Tahoma"/>
            <family val="2"/>
          </rPr>
          <t xml:space="preserve">
LOQ = 0.1 µg replaced by 1/2 LOQ</t>
        </r>
      </text>
    </comment>
    <comment ref="F158" authorId="0">
      <text>
        <r>
          <rPr>
            <b/>
            <sz val="8"/>
            <rFont val="Tahoma"/>
            <family val="2"/>
          </rPr>
          <t>Administrateur:</t>
        </r>
        <r>
          <rPr>
            <sz val="8"/>
            <rFont val="Tahoma"/>
            <family val="2"/>
          </rPr>
          <t xml:space="preserve">
LOQ = 0.1 µg replaced by 1/2 LOQ</t>
        </r>
      </text>
    </comment>
    <comment ref="F161" authorId="0">
      <text>
        <r>
          <rPr>
            <b/>
            <sz val="8"/>
            <rFont val="Tahoma"/>
            <family val="2"/>
          </rPr>
          <t>Administrateur:</t>
        </r>
        <r>
          <rPr>
            <sz val="8"/>
            <rFont val="Tahoma"/>
            <family val="2"/>
          </rPr>
          <t xml:space="preserve">
LOQ = 0.1 µg replaced by 1/2 LOQ</t>
        </r>
      </text>
    </comment>
    <comment ref="F164" authorId="0">
      <text>
        <r>
          <rPr>
            <b/>
            <sz val="8"/>
            <rFont val="Tahoma"/>
            <family val="2"/>
          </rPr>
          <t>Administrateur:</t>
        </r>
        <r>
          <rPr>
            <sz val="8"/>
            <rFont val="Tahoma"/>
            <family val="2"/>
          </rPr>
          <t xml:space="preserve">
LOQ = 0.1 µg replaced by 1/2 LOQ</t>
        </r>
      </text>
    </comment>
    <comment ref="B165" authorId="0">
      <text>
        <r>
          <rPr>
            <b/>
            <sz val="8"/>
            <rFont val="Tahoma"/>
            <family val="2"/>
          </rPr>
          <t>Administrateur:</t>
        </r>
        <r>
          <rPr>
            <sz val="8"/>
            <rFont val="Tahoma"/>
            <family val="2"/>
          </rPr>
          <t xml:space="preserve">
LOQ = 0.1 µg replaced by 1/2 LOQ</t>
        </r>
      </text>
    </comment>
    <comment ref="B169" authorId="0">
      <text>
        <r>
          <rPr>
            <b/>
            <sz val="8"/>
            <rFont val="Tahoma"/>
            <family val="2"/>
          </rPr>
          <t>Administrateur:</t>
        </r>
        <r>
          <rPr>
            <sz val="8"/>
            <rFont val="Tahoma"/>
            <family val="2"/>
          </rPr>
          <t xml:space="preserve">
LOQ = 0.1 µg replaced by 1/2 LOQ</t>
        </r>
      </text>
    </comment>
    <comment ref="B173" authorId="0">
      <text>
        <r>
          <rPr>
            <b/>
            <sz val="8"/>
            <rFont val="Tahoma"/>
            <family val="2"/>
          </rPr>
          <t>Administrateur:</t>
        </r>
        <r>
          <rPr>
            <sz val="8"/>
            <rFont val="Tahoma"/>
            <family val="2"/>
          </rPr>
          <t xml:space="preserve">
LOQ = 0.1 µg replaced by 1/2 LOQ</t>
        </r>
      </text>
    </comment>
    <comment ref="B175" authorId="0">
      <text>
        <r>
          <rPr>
            <b/>
            <sz val="8"/>
            <rFont val="Tahoma"/>
            <family val="2"/>
          </rPr>
          <t>Administrateur:</t>
        </r>
        <r>
          <rPr>
            <sz val="8"/>
            <rFont val="Tahoma"/>
            <family val="2"/>
          </rPr>
          <t xml:space="preserve">
LOQ = 0.1 µg replaced by 1/2 LOQ</t>
        </r>
      </text>
    </comment>
    <comment ref="B177" authorId="0">
      <text>
        <r>
          <rPr>
            <b/>
            <sz val="8"/>
            <rFont val="Tahoma"/>
            <family val="2"/>
          </rPr>
          <t>Administrateur:</t>
        </r>
        <r>
          <rPr>
            <sz val="8"/>
            <rFont val="Tahoma"/>
            <family val="2"/>
          </rPr>
          <t xml:space="preserve">
LOQ = 0.1 µg replaced by 1/2 LOQ</t>
        </r>
      </text>
    </comment>
    <comment ref="B179" authorId="0">
      <text>
        <r>
          <rPr>
            <b/>
            <sz val="8"/>
            <rFont val="Tahoma"/>
            <family val="2"/>
          </rPr>
          <t>Administrateur:</t>
        </r>
        <r>
          <rPr>
            <sz val="8"/>
            <rFont val="Tahoma"/>
            <family val="2"/>
          </rPr>
          <t xml:space="preserve">
LOQ = 0.1 µg replaced by 1/2 LOQ</t>
        </r>
      </text>
    </comment>
    <comment ref="B183" authorId="0">
      <text>
        <r>
          <rPr>
            <b/>
            <sz val="8"/>
            <rFont val="Tahoma"/>
            <family val="2"/>
          </rPr>
          <t>Administrateur:</t>
        </r>
        <r>
          <rPr>
            <sz val="8"/>
            <rFont val="Tahoma"/>
            <family val="2"/>
          </rPr>
          <t xml:space="preserve">
LOQ = 0.1 µg replaced by 1/2 LOQ</t>
        </r>
      </text>
    </comment>
    <comment ref="F169" authorId="0">
      <text>
        <r>
          <rPr>
            <b/>
            <sz val="8"/>
            <rFont val="Tahoma"/>
            <family val="2"/>
          </rPr>
          <t>Administrateur:</t>
        </r>
        <r>
          <rPr>
            <sz val="8"/>
            <rFont val="Tahoma"/>
            <family val="2"/>
          </rPr>
          <t xml:space="preserve">
LOQ = 0.1 µg replaced by 1/2 LOQ</t>
        </r>
      </text>
    </comment>
    <comment ref="F177" authorId="0">
      <text>
        <r>
          <rPr>
            <b/>
            <sz val="8"/>
            <rFont val="Tahoma"/>
            <family val="2"/>
          </rPr>
          <t>Administrateur:</t>
        </r>
        <r>
          <rPr>
            <sz val="8"/>
            <rFont val="Tahoma"/>
            <family val="2"/>
          </rPr>
          <t xml:space="preserve">
LOQ = 0.1 µg replaced by 1/2 LOQ</t>
        </r>
      </text>
    </comment>
    <comment ref="F183" authorId="0">
      <text>
        <r>
          <rPr>
            <b/>
            <sz val="8"/>
            <rFont val="Tahoma"/>
            <family val="2"/>
          </rPr>
          <t>Administrateur:</t>
        </r>
        <r>
          <rPr>
            <sz val="8"/>
            <rFont val="Tahoma"/>
            <family val="2"/>
          </rPr>
          <t xml:space="preserve">
LOQ = 0.1 µg replaced by 1/2 LOQ</t>
        </r>
      </text>
    </comment>
    <comment ref="B189" authorId="0">
      <text>
        <r>
          <rPr>
            <b/>
            <sz val="8"/>
            <rFont val="Tahoma"/>
            <family val="2"/>
          </rPr>
          <t>Administrateur:</t>
        </r>
        <r>
          <rPr>
            <sz val="8"/>
            <rFont val="Tahoma"/>
            <family val="2"/>
          </rPr>
          <t xml:space="preserve">
LOQ = 1 µg replaced by 1/2 LOQ</t>
        </r>
      </text>
    </comment>
    <comment ref="F187" authorId="0">
      <text>
        <r>
          <rPr>
            <b/>
            <sz val="8"/>
            <rFont val="Tahoma"/>
            <family val="2"/>
          </rPr>
          <t>Administrateur:</t>
        </r>
        <r>
          <rPr>
            <sz val="8"/>
            <rFont val="Tahoma"/>
            <family val="2"/>
          </rPr>
          <t xml:space="preserve">
LOQ = 0.1 µg replaced by 1/2 LOQ</t>
        </r>
      </text>
    </comment>
    <comment ref="F189" authorId="0">
      <text>
        <r>
          <rPr>
            <b/>
            <sz val="8"/>
            <rFont val="Tahoma"/>
            <family val="2"/>
          </rPr>
          <t>Administrateur:</t>
        </r>
        <r>
          <rPr>
            <sz val="8"/>
            <rFont val="Tahoma"/>
            <family val="2"/>
          </rPr>
          <t xml:space="preserve">
LOQ = 0.1 µg replaced by 1/2 LOQ</t>
        </r>
      </text>
    </comment>
    <comment ref="F195" authorId="0">
      <text>
        <r>
          <rPr>
            <b/>
            <sz val="8"/>
            <rFont val="Tahoma"/>
            <family val="2"/>
          </rPr>
          <t>Administrateur:</t>
        </r>
        <r>
          <rPr>
            <sz val="8"/>
            <rFont val="Tahoma"/>
            <family val="2"/>
          </rPr>
          <t xml:space="preserve">
LOQ = 0.1 µg replaced by 1/2 LOQ</t>
        </r>
      </text>
    </comment>
    <comment ref="F205" authorId="0">
      <text>
        <r>
          <rPr>
            <b/>
            <sz val="8"/>
            <rFont val="Tahoma"/>
            <family val="2"/>
          </rPr>
          <t>Administrateur:</t>
        </r>
        <r>
          <rPr>
            <sz val="8"/>
            <rFont val="Tahoma"/>
            <family val="2"/>
          </rPr>
          <t xml:space="preserve">
LOQ = 0.1 µg replaced by 1/2 LOQ</t>
        </r>
      </text>
    </comment>
    <comment ref="F207" authorId="0">
      <text>
        <r>
          <rPr>
            <b/>
            <sz val="8"/>
            <rFont val="Tahoma"/>
            <family val="2"/>
          </rPr>
          <t>Administrateur:</t>
        </r>
        <r>
          <rPr>
            <sz val="8"/>
            <rFont val="Tahoma"/>
            <family val="2"/>
          </rPr>
          <t xml:space="preserve">
LOQ = 0.1 µg replaced by 1/2 LOQ</t>
        </r>
      </text>
    </comment>
    <comment ref="F213" authorId="0">
      <text>
        <r>
          <rPr>
            <b/>
            <sz val="8"/>
            <rFont val="Tahoma"/>
            <family val="2"/>
          </rPr>
          <t>Administrateur:</t>
        </r>
        <r>
          <rPr>
            <sz val="8"/>
            <rFont val="Tahoma"/>
            <family val="2"/>
          </rPr>
          <t xml:space="preserve">
LOQ = 0.1 µg replaced by 1/2 LOQ</t>
        </r>
      </text>
    </comment>
    <comment ref="F215" authorId="0">
      <text>
        <r>
          <rPr>
            <b/>
            <sz val="8"/>
            <rFont val="Tahoma"/>
            <family val="2"/>
          </rPr>
          <t>Administrateur:</t>
        </r>
        <r>
          <rPr>
            <sz val="8"/>
            <rFont val="Tahoma"/>
            <family val="2"/>
          </rPr>
          <t xml:space="preserve">
LOQ = 0.1 µg replaced by 1/2 LOQ</t>
        </r>
      </text>
    </comment>
    <comment ref="F217" authorId="0">
      <text>
        <r>
          <rPr>
            <b/>
            <sz val="8"/>
            <rFont val="Tahoma"/>
            <family val="2"/>
          </rPr>
          <t>Administrateur:</t>
        </r>
        <r>
          <rPr>
            <sz val="8"/>
            <rFont val="Tahoma"/>
            <family val="2"/>
          </rPr>
          <t xml:space="preserve">
LOQ = 0.1 µg replaced by 1/2 LOQ</t>
        </r>
      </text>
    </comment>
    <comment ref="F219" authorId="0">
      <text>
        <r>
          <rPr>
            <b/>
            <sz val="8"/>
            <rFont val="Tahoma"/>
            <family val="2"/>
          </rPr>
          <t>Administrateur:</t>
        </r>
        <r>
          <rPr>
            <sz val="8"/>
            <rFont val="Tahoma"/>
            <family val="2"/>
          </rPr>
          <t xml:space="preserve">
LOQ = 0.1 µg replaced by 1/2 LOQ</t>
        </r>
      </text>
    </comment>
    <comment ref="F221" authorId="0">
      <text>
        <r>
          <rPr>
            <b/>
            <sz val="8"/>
            <rFont val="Tahoma"/>
            <family val="2"/>
          </rPr>
          <t>Administrateur:</t>
        </r>
        <r>
          <rPr>
            <sz val="8"/>
            <rFont val="Tahoma"/>
            <family val="2"/>
          </rPr>
          <t xml:space="preserve">
LOQ = 0.1 µg replaced by 1/2 LOQ</t>
        </r>
      </text>
    </comment>
    <comment ref="B207" authorId="0">
      <text>
        <r>
          <rPr>
            <b/>
            <sz val="8"/>
            <rFont val="Tahoma"/>
            <family val="2"/>
          </rPr>
          <t>Administrateur:</t>
        </r>
        <r>
          <rPr>
            <sz val="8"/>
            <rFont val="Tahoma"/>
            <family val="2"/>
          </rPr>
          <t xml:space="preserve">
LOQ = 1 µg replaced by 1/2 LOQ</t>
        </r>
      </text>
    </comment>
    <comment ref="B215" authorId="0">
      <text>
        <r>
          <rPr>
            <b/>
            <sz val="8"/>
            <rFont val="Tahoma"/>
            <family val="2"/>
          </rPr>
          <t>Administrateur:</t>
        </r>
        <r>
          <rPr>
            <sz val="8"/>
            <rFont val="Tahoma"/>
            <family val="2"/>
          </rPr>
          <t xml:space="preserve">
LOQ = 1 µg replaced by 1/2 LOQ</t>
        </r>
      </text>
    </comment>
  </commentList>
</comments>
</file>

<file path=xl/comments27.xml><?xml version="1.0" encoding="utf-8"?>
<comments xmlns="http://schemas.openxmlformats.org/spreadsheetml/2006/main">
  <authors>
    <author>Administrateur</author>
  </authors>
  <commentList>
    <comment ref="Q1" authorId="0">
      <text>
        <r>
          <rPr>
            <b/>
            <sz val="8"/>
            <rFont val="Tahoma"/>
            <family val="2"/>
          </rPr>
          <t>Administrateur:</t>
        </r>
        <r>
          <rPr>
            <sz val="8"/>
            <rFont val="Tahoma"/>
            <family val="2"/>
          </rPr>
          <t xml:space="preserve">
calculated using 29 L/min</t>
        </r>
      </text>
    </comment>
    <comment ref="P41" authorId="0">
      <text>
        <r>
          <rPr>
            <b/>
            <sz val="8"/>
            <rFont val="Tahoma"/>
            <family val="2"/>
          </rPr>
          <t>Administrateur:</t>
        </r>
        <r>
          <rPr>
            <sz val="8"/>
            <rFont val="Tahoma"/>
            <family val="2"/>
          </rPr>
          <t xml:space="preserve">
LOQ = 0.1 µg replaced by 1/2 LOQ</t>
        </r>
      </text>
    </comment>
    <comment ref="P182" authorId="0">
      <text>
        <r>
          <rPr>
            <b/>
            <sz val="8"/>
            <rFont val="Tahoma"/>
            <family val="2"/>
          </rPr>
          <t>Administrateur:</t>
        </r>
        <r>
          <rPr>
            <sz val="8"/>
            <rFont val="Tahoma"/>
            <family val="2"/>
          </rPr>
          <t xml:space="preserve">
LOQ = 0.1 µg replaced by 1/2 LOQ</t>
        </r>
      </text>
    </comment>
    <comment ref="P184" authorId="0">
      <text>
        <r>
          <rPr>
            <b/>
            <sz val="8"/>
            <rFont val="Tahoma"/>
            <family val="2"/>
          </rPr>
          <t>Administrateur:</t>
        </r>
        <r>
          <rPr>
            <sz val="8"/>
            <rFont val="Tahoma"/>
            <family val="2"/>
          </rPr>
          <t xml:space="preserve">
LOQ = 0.1 µg replaced by 1/2 LOQ</t>
        </r>
      </text>
    </comment>
    <comment ref="S1" authorId="0">
      <text>
        <r>
          <rPr>
            <b/>
            <sz val="8"/>
            <rFont val="Tahoma"/>
            <family val="2"/>
          </rPr>
          <t>Administrateur: = head total measured x 2</t>
        </r>
        <r>
          <rPr>
            <sz val="8"/>
            <rFont val="Tahoma"/>
            <family val="2"/>
          </rPr>
          <t xml:space="preserve">
</t>
        </r>
      </text>
    </comment>
    <comment ref="R166" authorId="0">
      <text>
        <r>
          <rPr>
            <b/>
            <sz val="8"/>
            <rFont val="Tahoma"/>
            <family val="2"/>
          </rPr>
          <t>Administrateur:</t>
        </r>
        <r>
          <rPr>
            <sz val="8"/>
            <rFont val="Tahoma"/>
            <family val="2"/>
          </rPr>
          <t xml:space="preserve">
LOQ = 1 µg replaced by 1/2 LOQ</t>
        </r>
      </text>
    </comment>
    <comment ref="R168" authorId="0">
      <text>
        <r>
          <rPr>
            <b/>
            <sz val="8"/>
            <rFont val="Tahoma"/>
            <family val="2"/>
          </rPr>
          <t>Administrateur:</t>
        </r>
        <r>
          <rPr>
            <sz val="8"/>
            <rFont val="Tahoma"/>
            <family val="2"/>
          </rPr>
          <t xml:space="preserve">
LOQ = 1 µg replaced by 1/2 LOQ</t>
        </r>
      </text>
    </comment>
    <comment ref="R170" authorId="0">
      <text>
        <r>
          <rPr>
            <b/>
            <sz val="8"/>
            <rFont val="Tahoma"/>
            <family val="2"/>
          </rPr>
          <t>Administrateur:</t>
        </r>
        <r>
          <rPr>
            <sz val="8"/>
            <rFont val="Tahoma"/>
            <family val="2"/>
          </rPr>
          <t xml:space="preserve">
LOQ = 1 µg replaced by 1/2 LOQ</t>
        </r>
      </text>
    </comment>
    <comment ref="R172" authorId="0">
      <text>
        <r>
          <rPr>
            <b/>
            <sz val="8"/>
            <rFont val="Tahoma"/>
            <family val="2"/>
          </rPr>
          <t>Administrateur:</t>
        </r>
        <r>
          <rPr>
            <sz val="8"/>
            <rFont val="Tahoma"/>
            <family val="2"/>
          </rPr>
          <t xml:space="preserve">
LOQ = 1 µg replaced by 1/2 LOQ</t>
        </r>
      </text>
    </comment>
    <comment ref="R176" authorId="0">
      <text>
        <r>
          <rPr>
            <b/>
            <sz val="8"/>
            <rFont val="Tahoma"/>
            <family val="2"/>
          </rPr>
          <t>Administrateur:</t>
        </r>
        <r>
          <rPr>
            <sz val="8"/>
            <rFont val="Tahoma"/>
            <family val="2"/>
          </rPr>
          <t xml:space="preserve">
LOQ = 1 µg replaced by 1/2 LOQ</t>
        </r>
      </text>
    </comment>
    <comment ref="R180" authorId="0">
      <text>
        <r>
          <rPr>
            <b/>
            <sz val="8"/>
            <rFont val="Tahoma"/>
            <family val="2"/>
          </rPr>
          <t>Administrateur:</t>
        </r>
        <r>
          <rPr>
            <sz val="8"/>
            <rFont val="Tahoma"/>
            <family val="2"/>
          </rPr>
          <t xml:space="preserve">
LOQ = 1 µg replaced by 1/2 LOQ</t>
        </r>
      </text>
    </comment>
    <comment ref="R184" authorId="0">
      <text>
        <r>
          <rPr>
            <b/>
            <sz val="8"/>
            <rFont val="Tahoma"/>
            <family val="2"/>
          </rPr>
          <t>Administrateur:</t>
        </r>
        <r>
          <rPr>
            <sz val="8"/>
            <rFont val="Tahoma"/>
            <family val="2"/>
          </rPr>
          <t xml:space="preserve">
LOQ = 1 µg replaced by 1/2 LOQ</t>
        </r>
      </text>
    </comment>
    <comment ref="R200" authorId="0">
      <text>
        <r>
          <rPr>
            <b/>
            <sz val="8"/>
            <rFont val="Tahoma"/>
            <family val="2"/>
          </rPr>
          <t>Administrateur:</t>
        </r>
        <r>
          <rPr>
            <sz val="8"/>
            <rFont val="Tahoma"/>
            <family val="2"/>
          </rPr>
          <t xml:space="preserve">
LOQ = 1 µg replaced by 1/2 LOQ</t>
        </r>
      </text>
    </comment>
    <comment ref="T166" authorId="0">
      <text>
        <r>
          <rPr>
            <b/>
            <sz val="8"/>
            <rFont val="Tahoma"/>
            <family val="2"/>
          </rPr>
          <t>Administrateur:</t>
        </r>
        <r>
          <rPr>
            <sz val="8"/>
            <rFont val="Tahoma"/>
            <family val="2"/>
          </rPr>
          <t xml:space="preserve">
LOQ = 2 µg replaced by 1/2 LOQ</t>
        </r>
      </text>
    </comment>
    <comment ref="T168" authorId="0">
      <text>
        <r>
          <rPr>
            <b/>
            <sz val="8"/>
            <rFont val="Tahoma"/>
            <family val="2"/>
          </rPr>
          <t>Administrateur:</t>
        </r>
        <r>
          <rPr>
            <sz val="8"/>
            <rFont val="Tahoma"/>
            <family val="2"/>
          </rPr>
          <t xml:space="preserve">
LOQ = 2 µg replaced by 1/2 LOQ</t>
        </r>
      </text>
    </comment>
    <comment ref="T170" authorId="0">
      <text>
        <r>
          <rPr>
            <b/>
            <sz val="8"/>
            <rFont val="Tahoma"/>
            <family val="2"/>
          </rPr>
          <t>Administrateur:</t>
        </r>
        <r>
          <rPr>
            <sz val="8"/>
            <rFont val="Tahoma"/>
            <family val="2"/>
          </rPr>
          <t xml:space="preserve">
LOQ = 2 µg replaced by 1/2 LOQ</t>
        </r>
      </text>
    </comment>
    <comment ref="T172" authorId="0">
      <text>
        <r>
          <rPr>
            <b/>
            <sz val="8"/>
            <rFont val="Tahoma"/>
            <family val="2"/>
          </rPr>
          <t>Administrateur:</t>
        </r>
        <r>
          <rPr>
            <sz val="8"/>
            <rFont val="Tahoma"/>
            <family val="2"/>
          </rPr>
          <t xml:space="preserve">
LOQ = 2 µg replaced by 1/2 LOQ</t>
        </r>
      </text>
    </comment>
    <comment ref="T174" authorId="0">
      <text>
        <r>
          <rPr>
            <b/>
            <sz val="8"/>
            <rFont val="Tahoma"/>
            <family val="2"/>
          </rPr>
          <t>Administrateur:</t>
        </r>
        <r>
          <rPr>
            <sz val="8"/>
            <rFont val="Tahoma"/>
            <family val="2"/>
          </rPr>
          <t xml:space="preserve">
LOQ = 2 µg replaced by 1/2 LOQ</t>
        </r>
      </text>
    </comment>
    <comment ref="T176" authorId="0">
      <text>
        <r>
          <rPr>
            <b/>
            <sz val="8"/>
            <rFont val="Tahoma"/>
            <family val="2"/>
          </rPr>
          <t>Administrateur:</t>
        </r>
        <r>
          <rPr>
            <sz val="8"/>
            <rFont val="Tahoma"/>
            <family val="2"/>
          </rPr>
          <t xml:space="preserve">
LOQ = 2 µg replaced by 1/2 LOQ</t>
        </r>
      </text>
    </comment>
    <comment ref="T178" authorId="0">
      <text>
        <r>
          <rPr>
            <b/>
            <sz val="8"/>
            <rFont val="Tahoma"/>
            <family val="2"/>
          </rPr>
          <t>Administrateur:</t>
        </r>
        <r>
          <rPr>
            <sz val="8"/>
            <rFont val="Tahoma"/>
            <family val="2"/>
          </rPr>
          <t xml:space="preserve">
LOQ = 2 µg replaced by 1/2 LOQ</t>
        </r>
      </text>
    </comment>
    <comment ref="T184" authorId="0">
      <text>
        <r>
          <rPr>
            <b/>
            <sz val="8"/>
            <rFont val="Tahoma"/>
            <family val="2"/>
          </rPr>
          <t>Administrateur:</t>
        </r>
        <r>
          <rPr>
            <sz val="8"/>
            <rFont val="Tahoma"/>
            <family val="2"/>
          </rPr>
          <t xml:space="preserve">
LOQ = 2 µg replaced by 1/2 LOQ</t>
        </r>
      </text>
    </comment>
    <comment ref="U166" authorId="0">
      <text>
        <r>
          <rPr>
            <b/>
            <sz val="8"/>
            <rFont val="Tahoma"/>
            <family val="2"/>
          </rPr>
          <t>Administrateur:</t>
        </r>
        <r>
          <rPr>
            <sz val="8"/>
            <rFont val="Tahoma"/>
            <family val="2"/>
          </rPr>
          <t xml:space="preserve">
LOQ = 2 µg replaced by 1/2 LOQ</t>
        </r>
      </text>
    </comment>
    <comment ref="U170" authorId="0">
      <text>
        <r>
          <rPr>
            <b/>
            <sz val="8"/>
            <rFont val="Tahoma"/>
            <family val="2"/>
          </rPr>
          <t>Administrateur:</t>
        </r>
        <r>
          <rPr>
            <sz val="8"/>
            <rFont val="Tahoma"/>
            <family val="2"/>
          </rPr>
          <t xml:space="preserve">
LOQ = 2 µg replaced by 1/2 LOQ</t>
        </r>
      </text>
    </comment>
    <comment ref="U172" authorId="0">
      <text>
        <r>
          <rPr>
            <b/>
            <sz val="8"/>
            <rFont val="Tahoma"/>
            <family val="2"/>
          </rPr>
          <t>Administrateur:</t>
        </r>
        <r>
          <rPr>
            <sz val="8"/>
            <rFont val="Tahoma"/>
            <family val="2"/>
          </rPr>
          <t xml:space="preserve">
LOQ = 2 µg replaced by 1/2 LOQ</t>
        </r>
      </text>
    </comment>
    <comment ref="U174" authorId="0">
      <text>
        <r>
          <rPr>
            <b/>
            <sz val="8"/>
            <rFont val="Tahoma"/>
            <family val="2"/>
          </rPr>
          <t>Administrateur:</t>
        </r>
        <r>
          <rPr>
            <sz val="8"/>
            <rFont val="Tahoma"/>
            <family val="2"/>
          </rPr>
          <t xml:space="preserve">
LOQ = 2 µg replaced by 1/2 LOQ</t>
        </r>
      </text>
    </comment>
    <comment ref="U176" authorId="0">
      <text>
        <r>
          <rPr>
            <b/>
            <sz val="8"/>
            <rFont val="Tahoma"/>
            <family val="2"/>
          </rPr>
          <t>Administrateur:</t>
        </r>
        <r>
          <rPr>
            <sz val="8"/>
            <rFont val="Tahoma"/>
            <family val="2"/>
          </rPr>
          <t xml:space="preserve">
LOQ = 2 µg replaced by 1/2 LOQ</t>
        </r>
      </text>
    </comment>
    <comment ref="U178" authorId="0">
      <text>
        <r>
          <rPr>
            <b/>
            <sz val="8"/>
            <rFont val="Tahoma"/>
            <family val="2"/>
          </rPr>
          <t>Administrateur:</t>
        </r>
        <r>
          <rPr>
            <sz val="8"/>
            <rFont val="Tahoma"/>
            <family val="2"/>
          </rPr>
          <t xml:space="preserve">
LOQ = 2 µg replaced by 1/2 LOQ</t>
        </r>
      </text>
    </comment>
    <comment ref="U184" authorId="0">
      <text>
        <r>
          <rPr>
            <b/>
            <sz val="8"/>
            <rFont val="Tahoma"/>
            <family val="2"/>
          </rPr>
          <t>Administrateur:</t>
        </r>
        <r>
          <rPr>
            <sz val="8"/>
            <rFont val="Tahoma"/>
            <family val="2"/>
          </rPr>
          <t xml:space="preserve">
LOQ = 2 µg replaced by 1/2 LOQ</t>
        </r>
      </text>
    </comment>
    <comment ref="T200" authorId="0">
      <text>
        <r>
          <rPr>
            <b/>
            <sz val="8"/>
            <rFont val="Tahoma"/>
            <family val="2"/>
          </rPr>
          <t>Administrateur:</t>
        </r>
        <r>
          <rPr>
            <sz val="8"/>
            <rFont val="Tahoma"/>
            <family val="2"/>
          </rPr>
          <t xml:space="preserve">
LOQ = 1 µg replaced by 1/2 LOQ</t>
        </r>
      </text>
    </comment>
    <comment ref="U200" authorId="0">
      <text>
        <r>
          <rPr>
            <b/>
            <sz val="8"/>
            <rFont val="Tahoma"/>
            <family val="2"/>
          </rPr>
          <t>Administrateur:</t>
        </r>
        <r>
          <rPr>
            <sz val="8"/>
            <rFont val="Tahoma"/>
            <family val="2"/>
          </rPr>
          <t xml:space="preserve">
LOQ = 1 µg replaced by 1/2 LOQ</t>
        </r>
      </text>
    </comment>
    <comment ref="X170" authorId="0">
      <text>
        <r>
          <rPr>
            <b/>
            <sz val="8"/>
            <rFont val="Tahoma"/>
            <family val="2"/>
          </rPr>
          <t>Administrateur:</t>
        </r>
        <r>
          <rPr>
            <sz val="8"/>
            <rFont val="Tahoma"/>
            <family val="2"/>
          </rPr>
          <t xml:space="preserve">
LOQ = 2 µg replaced by 1/2 LOQ</t>
        </r>
      </text>
    </comment>
    <comment ref="X176" authorId="0">
      <text>
        <r>
          <rPr>
            <b/>
            <sz val="8"/>
            <rFont val="Tahoma"/>
            <family val="2"/>
          </rPr>
          <t>Administrateur:</t>
        </r>
        <r>
          <rPr>
            <sz val="8"/>
            <rFont val="Tahoma"/>
            <family val="2"/>
          </rPr>
          <t xml:space="preserve">
LOQ = 2 µg replaced by 1/2 LOQ</t>
        </r>
      </text>
    </comment>
    <comment ref="X184" authorId="0">
      <text>
        <r>
          <rPr>
            <b/>
            <sz val="8"/>
            <rFont val="Tahoma"/>
            <family val="2"/>
          </rPr>
          <t>Administrateur:</t>
        </r>
        <r>
          <rPr>
            <sz val="8"/>
            <rFont val="Tahoma"/>
            <family val="2"/>
          </rPr>
          <t xml:space="preserve">
LOQ = 2 µg replaced by 1/2 LOQ</t>
        </r>
      </text>
    </comment>
    <comment ref="Z178" authorId="0">
      <text>
        <r>
          <rPr>
            <b/>
            <sz val="8"/>
            <rFont val="Tahoma"/>
            <family val="2"/>
          </rPr>
          <t>Administrateur:</t>
        </r>
        <r>
          <rPr>
            <sz val="8"/>
            <rFont val="Tahoma"/>
            <family val="2"/>
          </rPr>
          <t xml:space="preserve">
LOQ = 2 µg replaced by 1/2 LOQ</t>
        </r>
      </text>
    </comment>
    <comment ref="Z184" authorId="0">
      <text>
        <r>
          <rPr>
            <b/>
            <sz val="8"/>
            <rFont val="Tahoma"/>
            <family val="2"/>
          </rPr>
          <t>Administrateur:</t>
        </r>
        <r>
          <rPr>
            <sz val="8"/>
            <rFont val="Tahoma"/>
            <family val="2"/>
          </rPr>
          <t xml:space="preserve">
LOQ = 2 µg replaced by 1/2 LOQ</t>
        </r>
      </text>
    </comment>
    <comment ref="AA178" authorId="0">
      <text>
        <r>
          <rPr>
            <b/>
            <sz val="8"/>
            <rFont val="Tahoma"/>
            <family val="2"/>
          </rPr>
          <t>Administrateur:</t>
        </r>
        <r>
          <rPr>
            <sz val="8"/>
            <rFont val="Tahoma"/>
            <family val="2"/>
          </rPr>
          <t xml:space="preserve">
LOQ = 2 µg replaced by 1/2 LOQ</t>
        </r>
      </text>
    </comment>
    <comment ref="AA184" authorId="0">
      <text>
        <r>
          <rPr>
            <b/>
            <sz val="8"/>
            <rFont val="Tahoma"/>
            <family val="2"/>
          </rPr>
          <t>Administrateur:</t>
        </r>
        <r>
          <rPr>
            <sz val="8"/>
            <rFont val="Tahoma"/>
            <family val="2"/>
          </rPr>
          <t xml:space="preserve">
LOQ = 2 µg replaced by 1/2 LOQ</t>
        </r>
      </text>
    </comment>
    <comment ref="X198" authorId="0">
      <text>
        <r>
          <rPr>
            <b/>
            <sz val="8"/>
            <rFont val="Tahoma"/>
            <family val="2"/>
          </rPr>
          <t>Administrateur:</t>
        </r>
        <r>
          <rPr>
            <sz val="8"/>
            <rFont val="Tahoma"/>
            <family val="2"/>
          </rPr>
          <t xml:space="preserve">
LOQ = 1 µg replaced by 1/2 LOQ</t>
        </r>
      </text>
    </comment>
  </commentList>
</comments>
</file>

<file path=xl/sharedStrings.xml><?xml version="1.0" encoding="utf-8"?>
<sst xmlns="http://schemas.openxmlformats.org/spreadsheetml/2006/main" count="3324" uniqueCount="619">
  <si>
    <r>
      <t>Actual body with T-shirt &amp; shorts</t>
    </r>
    <r>
      <rPr>
        <sz val="10"/>
        <color indexed="12"/>
        <rFont val="Arial"/>
        <family val="2"/>
      </rPr>
      <t xml:space="preserve"> (µg/kg a.s. applied)</t>
    </r>
  </si>
  <si>
    <r>
      <t>Actual body</t>
    </r>
    <r>
      <rPr>
        <b/>
        <sz val="10"/>
        <rFont val="Arial"/>
        <family val="2"/>
      </rPr>
      <t xml:space="preserve"> with T-shirt &amp; shorts (µg/kg a.s. Applied)</t>
    </r>
  </si>
  <si>
    <t>Application method</t>
  </si>
  <si>
    <t>None</t>
  </si>
  <si>
    <t>Application</t>
  </si>
  <si>
    <t>Formulation:</t>
  </si>
  <si>
    <t>Product:</t>
  </si>
  <si>
    <t>Work rate [ha/day]:</t>
  </si>
  <si>
    <t>Active substance(s):</t>
  </si>
  <si>
    <t>Concentration [g/l or kg]:</t>
  </si>
  <si>
    <t>Dose [kg a.s./ha]:</t>
  </si>
  <si>
    <t>PPE during mix/loading:</t>
  </si>
  <si>
    <t>PPE during application:</t>
  </si>
  <si>
    <t>Formulation</t>
  </si>
  <si>
    <t>PPE during mix/loading: Respiration</t>
  </si>
  <si>
    <t>PPE during mix/loading: Hands</t>
  </si>
  <si>
    <t>PPE during application: Respiration</t>
  </si>
  <si>
    <t>PPE during application: Hands</t>
  </si>
  <si>
    <t>PPE during application: Head</t>
  </si>
  <si>
    <t>PPE during application: Body</t>
  </si>
  <si>
    <t>Gloves</t>
  </si>
  <si>
    <t>AOEL [mg/kg bw/day]</t>
  </si>
  <si>
    <t>With</t>
  </si>
  <si>
    <t>% of
AOEL</t>
  </si>
  <si>
    <t>Active substance:</t>
  </si>
  <si>
    <t>Respiration:</t>
  </si>
  <si>
    <t>Hands:</t>
  </si>
  <si>
    <t>Head:</t>
  </si>
  <si>
    <t>Body:</t>
  </si>
  <si>
    <t>Route</t>
  </si>
  <si>
    <t>I = Inhalation</t>
  </si>
  <si>
    <t>D = Dermal</t>
  </si>
  <si>
    <t>A = Application</t>
  </si>
  <si>
    <t>H = Hands</t>
  </si>
  <si>
    <t>C = Head</t>
  </si>
  <si>
    <t>B = Body</t>
  </si>
  <si>
    <t>M = Mix/Loading</t>
  </si>
  <si>
    <t>Absorbed dose:</t>
  </si>
  <si>
    <t>Mix/Loading</t>
  </si>
  <si>
    <t>Total =</t>
  </si>
  <si>
    <t>a.s. handled
[kg/day]</t>
  </si>
  <si>
    <t>M/L Respiratory</t>
  </si>
  <si>
    <t>M/L Hands</t>
  </si>
  <si>
    <t>Appl. Respiratory</t>
  </si>
  <si>
    <t>Appl. Hands</t>
  </si>
  <si>
    <t>Appl. Head</t>
  </si>
  <si>
    <t>Appl. Body</t>
  </si>
  <si>
    <t>Liquid</t>
  </si>
  <si>
    <t>WG</t>
  </si>
  <si>
    <t>WP</t>
  </si>
  <si>
    <t>Reduction factors</t>
  </si>
  <si>
    <t>Estimated exposure [mg/kg bw/day]</t>
  </si>
  <si>
    <t>Dermal absorption [%]</t>
  </si>
  <si>
    <t>Inhalation absorption [%]</t>
  </si>
  <si>
    <t>Reduction factor</t>
  </si>
  <si>
    <t>Active substance</t>
  </si>
  <si>
    <t>"dermal"</t>
  </si>
  <si>
    <t>"inhalativ"</t>
  </si>
  <si>
    <r>
      <t xml:space="preserve">Systemic exposure
</t>
    </r>
    <r>
      <rPr>
        <sz val="11"/>
        <rFont val="Times New Roman"/>
        <family val="1"/>
      </rPr>
      <t>[mg/kg bw/day]</t>
    </r>
  </si>
  <si>
    <r>
      <t>I</t>
    </r>
    <r>
      <rPr>
        <vertAlign val="superscript"/>
        <sz val="12"/>
        <color indexed="12"/>
        <rFont val="Times New Roman"/>
        <family val="1"/>
      </rPr>
      <t>*</t>
    </r>
    <r>
      <rPr>
        <vertAlign val="subscript"/>
        <sz val="12"/>
        <color indexed="12"/>
        <rFont val="Times New Roman"/>
        <family val="1"/>
      </rPr>
      <t>M</t>
    </r>
  </si>
  <si>
    <r>
      <t>I</t>
    </r>
    <r>
      <rPr>
        <vertAlign val="superscript"/>
        <sz val="12"/>
        <color indexed="12"/>
        <rFont val="Times New Roman"/>
        <family val="1"/>
      </rPr>
      <t>*</t>
    </r>
    <r>
      <rPr>
        <vertAlign val="subscript"/>
        <sz val="12"/>
        <color indexed="12"/>
        <rFont val="Times New Roman"/>
        <family val="1"/>
      </rPr>
      <t>A</t>
    </r>
  </si>
  <si>
    <r>
      <t>D</t>
    </r>
    <r>
      <rPr>
        <sz val="8"/>
        <rFont val="Times New Roman"/>
        <family val="1"/>
      </rPr>
      <t>M(H)</t>
    </r>
    <r>
      <rPr>
        <sz val="12"/>
        <rFont val="Times New Roman"/>
        <family val="1"/>
      </rPr>
      <t xml:space="preserve"> =</t>
    </r>
  </si>
  <si>
    <r>
      <t>D</t>
    </r>
    <r>
      <rPr>
        <sz val="8"/>
        <rFont val="Times New Roman"/>
        <family val="1"/>
      </rPr>
      <t>A(C)</t>
    </r>
    <r>
      <rPr>
        <sz val="12"/>
        <rFont val="Times New Roman"/>
        <family val="1"/>
      </rPr>
      <t xml:space="preserve"> =</t>
    </r>
  </si>
  <si>
    <r>
      <t>D</t>
    </r>
    <r>
      <rPr>
        <sz val="8"/>
        <rFont val="Times New Roman"/>
        <family val="1"/>
      </rPr>
      <t>A(H)</t>
    </r>
    <r>
      <rPr>
        <sz val="12"/>
        <rFont val="Times New Roman"/>
        <family val="1"/>
      </rPr>
      <t xml:space="preserve"> =</t>
    </r>
  </si>
  <si>
    <r>
      <t>D</t>
    </r>
    <r>
      <rPr>
        <sz val="8"/>
        <rFont val="Times New Roman"/>
        <family val="1"/>
      </rPr>
      <t>A(B)</t>
    </r>
    <r>
      <rPr>
        <sz val="12"/>
        <rFont val="Times New Roman"/>
        <family val="1"/>
      </rPr>
      <t xml:space="preserve"> =</t>
    </r>
  </si>
  <si>
    <t>Substance 1</t>
  </si>
  <si>
    <t>Substance 2</t>
  </si>
  <si>
    <t>Substance 3</t>
  </si>
  <si>
    <t>Substance 4</t>
  </si>
  <si>
    <t xml:space="preserve">                     Respiration:</t>
  </si>
  <si>
    <t xml:space="preserve">                     Hands:</t>
  </si>
  <si>
    <t xml:space="preserve">     Respiration:</t>
  </si>
  <si>
    <t xml:space="preserve">     Hands:</t>
  </si>
  <si>
    <t xml:space="preserve">     Head:</t>
  </si>
  <si>
    <t xml:space="preserve">     Body:</t>
  </si>
  <si>
    <t>Summary</t>
  </si>
  <si>
    <t xml:space="preserve">                     Concentrate:</t>
  </si>
  <si>
    <t xml:space="preserve">                     Dilution:</t>
  </si>
  <si>
    <t>Body weight [kg]:</t>
  </si>
  <si>
    <t>(concentrate)</t>
  </si>
  <si>
    <t>(dilution)</t>
  </si>
  <si>
    <r>
      <t xml:space="preserve">Estimated      route exposure
</t>
    </r>
    <r>
      <rPr>
        <sz val="11"/>
        <rFont val="Times New Roman"/>
        <family val="1"/>
      </rPr>
      <t>[mg/kg bw/day]</t>
    </r>
  </si>
  <si>
    <t>Absorption [%]</t>
  </si>
  <si>
    <t xml:space="preserve">            Dermal:</t>
  </si>
  <si>
    <t xml:space="preserve">            Inhalation:</t>
  </si>
  <si>
    <r>
      <t xml:space="preserve">     I</t>
    </r>
    <r>
      <rPr>
        <sz val="8"/>
        <rFont val="Times New Roman"/>
        <family val="1"/>
      </rPr>
      <t>M</t>
    </r>
    <r>
      <rPr>
        <sz val="12"/>
        <rFont val="Times New Roman"/>
        <family val="1"/>
      </rPr>
      <t xml:space="preserve"> =</t>
    </r>
  </si>
  <si>
    <r>
      <t xml:space="preserve">      I</t>
    </r>
    <r>
      <rPr>
        <sz val="8"/>
        <rFont val="Times New Roman"/>
        <family val="1"/>
      </rPr>
      <t>A</t>
    </r>
    <r>
      <rPr>
        <sz val="12"/>
        <rFont val="Times New Roman"/>
        <family val="1"/>
      </rPr>
      <t xml:space="preserve"> =</t>
    </r>
  </si>
  <si>
    <t>Calculation of route exposure:</t>
  </si>
  <si>
    <t>Dose [l or kg/ha product]:</t>
  </si>
  <si>
    <t>Dummy</t>
  </si>
  <si>
    <t>Systemic exposure
[mg/kg bw/day]</t>
  </si>
  <si>
    <t>AOEL
[mg/kg bw/day]</t>
  </si>
  <si>
    <t>a.s. concentration:</t>
  </si>
  <si>
    <t>[g/l or kg]</t>
  </si>
  <si>
    <t>Scenario 1</t>
  </si>
  <si>
    <t>Scenario 2</t>
  </si>
  <si>
    <t>Scenario 3</t>
  </si>
  <si>
    <t>Scenario 4</t>
  </si>
  <si>
    <t>High crop, standard</t>
  </si>
  <si>
    <t>High crop, intensive contact with treated crop</t>
  </si>
  <si>
    <t>Impervious clothing</t>
  </si>
  <si>
    <t>Low crop, standard</t>
  </si>
  <si>
    <t>Low crop, intensive contact with treated crop</t>
  </si>
  <si>
    <t>Mask FFP2</t>
  </si>
  <si>
    <t>Headgear</t>
  </si>
  <si>
    <t>Hood / face shield</t>
  </si>
  <si>
    <t>Coverall</t>
  </si>
  <si>
    <t>Record id</t>
  </si>
  <si>
    <t>10/1</t>
  </si>
  <si>
    <t>10/2</t>
  </si>
  <si>
    <t/>
  </si>
  <si>
    <t>10/3</t>
  </si>
  <si>
    <t>10/4</t>
  </si>
  <si>
    <t>10/5</t>
  </si>
  <si>
    <t>10/6</t>
  </si>
  <si>
    <t>10/7</t>
  </si>
  <si>
    <t>10/8</t>
  </si>
  <si>
    <t>10/9</t>
  </si>
  <si>
    <t>10/10</t>
  </si>
  <si>
    <t>10/11</t>
  </si>
  <si>
    <t>10/12</t>
  </si>
  <si>
    <t>10/13</t>
  </si>
  <si>
    <t>10/14</t>
  </si>
  <si>
    <t>10/15</t>
  </si>
  <si>
    <t>10/16</t>
  </si>
  <si>
    <t>10/17</t>
  </si>
  <si>
    <t>10/18</t>
  </si>
  <si>
    <t>10/19</t>
  </si>
  <si>
    <t>10/20</t>
  </si>
  <si>
    <t>12/1</t>
  </si>
  <si>
    <t>12/2</t>
  </si>
  <si>
    <t>12/3</t>
  </si>
  <si>
    <t>12/4</t>
  </si>
  <si>
    <t>12/7</t>
  </si>
  <si>
    <t>12/8</t>
  </si>
  <si>
    <t>12/9</t>
  </si>
  <si>
    <t>12/10</t>
  </si>
  <si>
    <t>12/11</t>
  </si>
  <si>
    <t>12/12</t>
  </si>
  <si>
    <t>12/13</t>
  </si>
  <si>
    <t>12/14</t>
  </si>
  <si>
    <t>12/15</t>
  </si>
  <si>
    <t>12/16</t>
  </si>
  <si>
    <t>12/17</t>
  </si>
  <si>
    <t>12/18</t>
  </si>
  <si>
    <t>12/19</t>
  </si>
  <si>
    <t>12/20</t>
  </si>
  <si>
    <t>12/21</t>
  </si>
  <si>
    <t>12/22</t>
  </si>
  <si>
    <t>13/1</t>
  </si>
  <si>
    <t>13/2</t>
  </si>
  <si>
    <t>13/3</t>
  </si>
  <si>
    <t>13/4</t>
  </si>
  <si>
    <t>13/5</t>
  </si>
  <si>
    <t>13/6</t>
  </si>
  <si>
    <t>13/9</t>
  </si>
  <si>
    <t>13/10</t>
  </si>
  <si>
    <t>13/11</t>
  </si>
  <si>
    <t>13/12</t>
  </si>
  <si>
    <t>13/13</t>
  </si>
  <si>
    <t>13/14</t>
  </si>
  <si>
    <t>13/15</t>
  </si>
  <si>
    <t>13/16</t>
  </si>
  <si>
    <t>13/17</t>
  </si>
  <si>
    <t>13/18</t>
  </si>
  <si>
    <t>13/19</t>
  </si>
  <si>
    <t>13/20</t>
  </si>
  <si>
    <t>13/21</t>
  </si>
  <si>
    <t>13/22</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</si>
  <si>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</si>
  <si>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</si>
  <si>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</si>
  <si>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</si>
  <si>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</si>
  <si>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</si>
  <si>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</si>
  <si>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</si>
  <si>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</si>
  <si>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</si>
  <si>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</si>
  <si>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</si>
  <si>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</si>
  <si>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</si>
  <si>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</si>
  <si>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</si>
  <si>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</si>
  <si>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</si>
  <si>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</si>
  <si>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</si>
  <si>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</si>
  <si>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</si>
  <si>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</si>
  <si>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</si>
  <si>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</si>
  <si>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</si>
  <si>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</si>
  <si>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</si>
  <si>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</si>
  <si>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</si>
  <si>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</si>
  <si>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</si>
  <si>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</si>
  <si>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</si>
  <si>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</si>
  <si>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</si>
  <si>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</si>
  <si>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</si>
  <si>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</si>
  <si>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</si>
  <si>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15/1</t>
  </si>
  <si>
    <t>15/2</t>
  </si>
  <si>
    <t>15/3</t>
  </si>
  <si>
    <t>15/4</t>
  </si>
  <si>
    <t>15/5</t>
  </si>
  <si>
    <t>15/6</t>
  </si>
  <si>
    <t>15/7</t>
  </si>
  <si>
    <t>15/8</t>
  </si>
  <si>
    <t>15/9</t>
  </si>
  <si>
    <t>15/10</t>
  </si>
  <si>
    <t>03/14</t>
  </si>
  <si>
    <t>03/15</t>
  </si>
  <si>
    <t>03/16</t>
  </si>
  <si>
    <t>03/17</t>
  </si>
  <si>
    <t>03/18</t>
  </si>
  <si>
    <t>03/19</t>
  </si>
  <si>
    <t>03/20</t>
  </si>
  <si>
    <t>03/21</t>
  </si>
  <si>
    <t>03/22</t>
  </si>
  <si>
    <t>03/23</t>
  </si>
  <si>
    <t>02/01</t>
  </si>
  <si>
    <t>02/02</t>
  </si>
  <si>
    <t>02/03</t>
  </si>
  <si>
    <t>02/04</t>
  </si>
  <si>
    <t>02/05</t>
  </si>
  <si>
    <t>02/06</t>
  </si>
  <si>
    <t>02/07</t>
  </si>
  <si>
    <t>02/08</t>
  </si>
  <si>
    <t>02/09</t>
  </si>
  <si>
    <t>02/10</t>
  </si>
  <si>
    <t>02/11</t>
  </si>
  <si>
    <t>02/12</t>
  </si>
  <si>
    <t>02/13</t>
  </si>
  <si>
    <t>02/14</t>
  </si>
  <si>
    <t>02/15</t>
  </si>
  <si>
    <t>02/17</t>
  </si>
  <si>
    <t>02/18</t>
  </si>
  <si>
    <t>02/19</t>
  </si>
  <si>
    <t>02/20</t>
  </si>
  <si>
    <t>02/21</t>
  </si>
  <si>
    <t>02/22</t>
  </si>
  <si>
    <t>02/23</t>
  </si>
  <si>
    <t>02/24</t>
  </si>
  <si>
    <t>02/25</t>
  </si>
  <si>
    <t>02/26</t>
  </si>
  <si>
    <t>02/27</t>
  </si>
  <si>
    <t>02/28</t>
  </si>
  <si>
    <t>02/29</t>
  </si>
  <si>
    <t>02/30</t>
  </si>
  <si>
    <t>02/31</t>
  </si>
  <si>
    <t>02/32</t>
  </si>
  <si>
    <t>04/1</t>
  </si>
  <si>
    <t>04/4</t>
  </si>
  <si>
    <t>04/9</t>
  </si>
  <si>
    <t>04/10</t>
  </si>
  <si>
    <t>04/13</t>
  </si>
  <si>
    <t>04/16</t>
  </si>
  <si>
    <t>04/22</t>
  </si>
  <si>
    <t>04/25</t>
  </si>
  <si>
    <t>04/26</t>
  </si>
  <si>
    <t>04/30</t>
  </si>
  <si>
    <t>07/3</t>
  </si>
  <si>
    <t>07/6</t>
  </si>
  <si>
    <t>07/7</t>
  </si>
  <si>
    <t>07/10</t>
  </si>
  <si>
    <t>07/18</t>
  </si>
  <si>
    <t>07/21</t>
  </si>
  <si>
    <t>07/24</t>
  </si>
  <si>
    <t>07/30</t>
  </si>
  <si>
    <t>07/33</t>
  </si>
  <si>
    <t>07/34</t>
  </si>
  <si>
    <t>05/1</t>
  </si>
  <si>
    <t>05/3</t>
  </si>
  <si>
    <t>05/7</t>
  </si>
  <si>
    <t>05/9</t>
  </si>
  <si>
    <t>05/11</t>
  </si>
  <si>
    <t>05/13</t>
  </si>
  <si>
    <t>05/15</t>
  </si>
  <si>
    <t>05/17</t>
  </si>
  <si>
    <t>05/19</t>
  </si>
  <si>
    <t>05/21</t>
  </si>
  <si>
    <t>05/23</t>
  </si>
  <si>
    <t>05/25</t>
  </si>
  <si>
    <t>Solids, WG</t>
  </si>
  <si>
    <t>75th percentile</t>
  </si>
  <si>
    <t>Geomean</t>
  </si>
  <si>
    <t>Solids, WP</t>
  </si>
  <si>
    <t>Liquids</t>
  </si>
  <si>
    <t xml:space="preserve">Unprotected </t>
  </si>
  <si>
    <t xml:space="preserve">Protected </t>
  </si>
  <si>
    <t>Geometric mean</t>
  </si>
  <si>
    <t>Protection</t>
  </si>
  <si>
    <r>
      <t>D</t>
    </r>
    <r>
      <rPr>
        <vertAlign val="superscript"/>
        <sz val="12"/>
        <color indexed="12"/>
        <rFont val="Times New Roman"/>
        <family val="1"/>
      </rPr>
      <t>*</t>
    </r>
    <r>
      <rPr>
        <vertAlign val="subscript"/>
        <sz val="12"/>
        <color indexed="12"/>
        <rFont val="Times New Roman"/>
        <family val="1"/>
      </rPr>
      <t>A(C) Head</t>
    </r>
  </si>
  <si>
    <r>
      <t>D</t>
    </r>
    <r>
      <rPr>
        <vertAlign val="superscript"/>
        <sz val="12"/>
        <color indexed="12"/>
        <rFont val="Times New Roman"/>
        <family val="1"/>
      </rPr>
      <t>*</t>
    </r>
    <r>
      <rPr>
        <vertAlign val="subscript"/>
        <sz val="12"/>
        <color indexed="12"/>
        <rFont val="Times New Roman"/>
        <family val="1"/>
      </rPr>
      <t>A(H) Hands</t>
    </r>
  </si>
  <si>
    <r>
      <t>D</t>
    </r>
    <r>
      <rPr>
        <vertAlign val="superscript"/>
        <sz val="12"/>
        <color indexed="12"/>
        <rFont val="Times New Roman"/>
        <family val="1"/>
      </rPr>
      <t>*</t>
    </r>
    <r>
      <rPr>
        <vertAlign val="subscript"/>
        <sz val="12"/>
        <color indexed="12"/>
        <rFont val="Times New Roman"/>
        <family val="1"/>
      </rPr>
      <t>A(B) Body</t>
    </r>
  </si>
  <si>
    <r>
      <t>D</t>
    </r>
    <r>
      <rPr>
        <vertAlign val="superscript"/>
        <sz val="12"/>
        <color indexed="12"/>
        <rFont val="Times New Roman"/>
        <family val="1"/>
      </rPr>
      <t>*</t>
    </r>
    <r>
      <rPr>
        <vertAlign val="subscript"/>
        <sz val="12"/>
        <color indexed="12"/>
        <rFont val="Times New Roman"/>
        <family val="1"/>
      </rPr>
      <t>M(H) Hands</t>
    </r>
  </si>
  <si>
    <t>Unprotected</t>
  </si>
  <si>
    <t>Unprotected hands</t>
  </si>
  <si>
    <t>Unprotected head</t>
  </si>
  <si>
    <t>Unprotected inhalation</t>
  </si>
  <si>
    <r>
      <t>75</t>
    </r>
    <r>
      <rPr>
        <vertAlign val="superscript"/>
        <sz val="12"/>
        <color indexed="9"/>
        <rFont val="Times New Roman"/>
        <family val="1"/>
      </rPr>
      <t>th</t>
    </r>
    <r>
      <rPr>
        <sz val="12"/>
        <color indexed="9"/>
        <rFont val="Times New Roman"/>
        <family val="1"/>
      </rPr>
      <t xml:space="preserve"> percentile</t>
    </r>
  </si>
  <si>
    <t>(gloves and impervious clothing are mandatory if high crop, intensive contact with treated crop)</t>
  </si>
  <si>
    <r>
      <t xml:space="preserve">Estimated      route exposure
</t>
    </r>
    <r>
      <rPr>
        <sz val="11"/>
        <color indexed="9"/>
        <rFont val="Times New Roman"/>
        <family val="1"/>
      </rPr>
      <t>[mg/kg bw/day]</t>
    </r>
  </si>
  <si>
    <r>
      <t xml:space="preserve">Systemic exposure
</t>
    </r>
    <r>
      <rPr>
        <sz val="11"/>
        <color indexed="9"/>
        <rFont val="Times New Roman"/>
        <family val="1"/>
      </rPr>
      <t>[mg/kg bw/day]</t>
    </r>
  </si>
  <si>
    <t>Dose [l or kg/ha product] :</t>
  </si>
  <si>
    <t>Protected</t>
  </si>
  <si>
    <t>Low crop, standard (EOEM study 10)</t>
  </si>
  <si>
    <t>High crop, standard (EOEM studies 03, 12, 13)</t>
  </si>
  <si>
    <t>High crop, intensive contact with treated crop (EOEM study 02)</t>
  </si>
  <si>
    <t>Low crop, intensive contact with treated crop (EOEM studies 14, 15)</t>
  </si>
  <si>
    <t>08/3</t>
  </si>
  <si>
    <t>08/6</t>
  </si>
  <si>
    <t>08/9</t>
  </si>
  <si>
    <t>08/12</t>
  </si>
  <si>
    <t>08/15</t>
  </si>
  <si>
    <t>08/18</t>
  </si>
  <si>
    <t>08/21</t>
  </si>
  <si>
    <t>08/24</t>
  </si>
  <si>
    <t>08/27</t>
  </si>
  <si>
    <t>08/30</t>
  </si>
  <si>
    <t>08/33</t>
  </si>
  <si>
    <t>08/36</t>
  </si>
  <si>
    <t>EOEM 05 &amp; 08</t>
  </si>
  <si>
    <t>EOEM 08</t>
  </si>
  <si>
    <t>(gloves and impervious clothing are mandatory if 'High crop, intensive contact with treated crop')</t>
  </si>
  <si>
    <t xml:space="preserve">  </t>
  </si>
  <si>
    <t>Unprotected body (actual)</t>
  </si>
  <si>
    <t>Assigned factors</t>
  </si>
  <si>
    <t>Serial numbers</t>
  </si>
  <si>
    <t>Protection factors</t>
  </si>
  <si>
    <t>Predicted systemic exposure as a percentage of the AOEL: Greenhouse Model</t>
  </si>
  <si>
    <t>Scenario 1:</t>
  </si>
  <si>
    <t>Scenario 2:</t>
  </si>
  <si>
    <t>Scenario 3:</t>
  </si>
  <si>
    <t>Scenario 4:</t>
  </si>
  <si>
    <t>Application rate                   [l or kg product/ha]:</t>
  </si>
  <si>
    <t>Data entry screen &amp; summary calculation sheet</t>
  </si>
  <si>
    <t>Number of replicates</t>
  </si>
  <si>
    <t>02-01</t>
  </si>
  <si>
    <t>02-02</t>
  </si>
  <si>
    <t>02-03</t>
  </si>
  <si>
    <t>02-04</t>
  </si>
  <si>
    <t>02-05</t>
  </si>
  <si>
    <t>02-06</t>
  </si>
  <si>
    <t>02-07</t>
  </si>
  <si>
    <t>02-08</t>
  </si>
  <si>
    <t>02-09</t>
  </si>
  <si>
    <t>02-10</t>
  </si>
  <si>
    <t>"Unprotected"</t>
  </si>
  <si>
    <t>"Protected"</t>
  </si>
  <si>
    <t>Subst. 1-4 Scenario 1</t>
  </si>
  <si>
    <t>Subst. 1-4 Scenario 2</t>
  </si>
  <si>
    <t>Subst. 1-4 Scenario 3</t>
  </si>
  <si>
    <t>Subst. 1-4 Scenario 4</t>
  </si>
  <si>
    <t>Mask A1P2</t>
  </si>
  <si>
    <t>(impervious clothing not applicable if 'Low crop, standard' selected)</t>
  </si>
  <si>
    <t>Body weight (kg)</t>
  </si>
  <si>
    <r>
      <t>Potential hands</t>
    </r>
    <r>
      <rPr>
        <b/>
        <sz val="10"/>
        <rFont val="Arial"/>
        <family val="2"/>
      </rPr>
      <t xml:space="preserve"> (µg/kg a.s. loaded)</t>
    </r>
  </si>
  <si>
    <r>
      <t>Actual hands</t>
    </r>
    <r>
      <rPr>
        <b/>
        <sz val="10"/>
        <rFont val="Arial"/>
        <family val="2"/>
      </rPr>
      <t xml:space="preserve"> (µg/kg a.s. loaded)</t>
    </r>
  </si>
  <si>
    <r>
      <t>Inhalation</t>
    </r>
    <r>
      <rPr>
        <b/>
        <sz val="10"/>
        <rFont val="Arial"/>
        <family val="2"/>
      </rPr>
      <t xml:space="preserve"> (µg/kg a.s. loaded)</t>
    </r>
  </si>
  <si>
    <r>
      <t>Potential body</t>
    </r>
    <r>
      <rPr>
        <b/>
        <sz val="10"/>
        <rFont val="Arial"/>
        <family val="2"/>
      </rPr>
      <t xml:space="preserve"> (µg/kg a.s. Applied)</t>
    </r>
  </si>
  <si>
    <r>
      <t>Potential hands</t>
    </r>
    <r>
      <rPr>
        <b/>
        <sz val="10"/>
        <rFont val="Arial"/>
        <family val="2"/>
      </rPr>
      <t xml:space="preserve"> (µg/kg a.s. Applied)</t>
    </r>
  </si>
  <si>
    <r>
      <t>Potential head</t>
    </r>
    <r>
      <rPr>
        <b/>
        <sz val="10"/>
        <rFont val="Arial"/>
        <family val="2"/>
      </rPr>
      <t xml:space="preserve"> (µg/kg a.s. Applied)</t>
    </r>
  </si>
  <si>
    <r>
      <t>Actual body</t>
    </r>
    <r>
      <rPr>
        <b/>
        <sz val="10"/>
        <rFont val="Arial"/>
        <family val="2"/>
      </rPr>
      <t xml:space="preserve"> (µg/kg a.s. Applied)</t>
    </r>
  </si>
  <si>
    <r>
      <t>Actual hands</t>
    </r>
    <r>
      <rPr>
        <b/>
        <sz val="10"/>
        <rFont val="Arial"/>
        <family val="2"/>
      </rPr>
      <t xml:space="preserve"> (µg/kg a.s. Applied)</t>
    </r>
  </si>
  <si>
    <r>
      <t>Inhalation</t>
    </r>
    <r>
      <rPr>
        <b/>
        <sz val="10"/>
        <rFont val="Arial"/>
        <family val="2"/>
      </rPr>
      <t xml:space="preserve"> (µg/kg a.s. applied)</t>
    </r>
  </si>
  <si>
    <t>Application scenario</t>
  </si>
  <si>
    <r>
      <t xml:space="preserve">Estimated route exposure
</t>
    </r>
    <r>
      <rPr>
        <sz val="11"/>
        <rFont val="Times New Roman"/>
        <family val="1"/>
      </rPr>
      <t>[mg/kg bw/day]</t>
    </r>
  </si>
  <si>
    <t>Intermediate exposure figures [mg/kg a.s.] used to calculate "Estimated exposure" for</t>
  </si>
  <si>
    <t>N.B.</t>
  </si>
  <si>
    <t>See footnote for explanation</t>
  </si>
  <si>
    <t>(Operators wear impervious trousers and cotton/polyester jacket)</t>
  </si>
  <si>
    <t>T-shirt + shorts</t>
  </si>
  <si>
    <t>(T-shirt + shorts cannot be selected if intensive contact with treated crop is expected)</t>
  </si>
  <si>
    <r>
      <t xml:space="preserve">     I</t>
    </r>
    <r>
      <rPr>
        <sz val="8"/>
        <color indexed="12"/>
        <rFont val="Times New Roman"/>
        <family val="1"/>
      </rPr>
      <t>M</t>
    </r>
    <r>
      <rPr>
        <sz val="12"/>
        <color indexed="12"/>
        <rFont val="Times New Roman"/>
        <family val="1"/>
      </rPr>
      <t xml:space="preserve"> =</t>
    </r>
  </si>
  <si>
    <r>
      <t>D</t>
    </r>
    <r>
      <rPr>
        <sz val="8"/>
        <color indexed="12"/>
        <rFont val="Times New Roman"/>
        <family val="1"/>
      </rPr>
      <t>M(H)</t>
    </r>
    <r>
      <rPr>
        <sz val="12"/>
        <color indexed="12"/>
        <rFont val="Times New Roman"/>
        <family val="1"/>
      </rPr>
      <t xml:space="preserve"> =</t>
    </r>
  </si>
  <si>
    <r>
      <t xml:space="preserve">      I</t>
    </r>
    <r>
      <rPr>
        <sz val="8"/>
        <color indexed="12"/>
        <rFont val="Times New Roman"/>
        <family val="1"/>
      </rPr>
      <t>A</t>
    </r>
    <r>
      <rPr>
        <sz val="12"/>
        <color indexed="12"/>
        <rFont val="Times New Roman"/>
        <family val="1"/>
      </rPr>
      <t xml:space="preserve"> =</t>
    </r>
  </si>
  <si>
    <r>
      <t>D</t>
    </r>
    <r>
      <rPr>
        <sz val="8"/>
        <color indexed="12"/>
        <rFont val="Times New Roman"/>
        <family val="1"/>
      </rPr>
      <t>A(C)</t>
    </r>
    <r>
      <rPr>
        <sz val="12"/>
        <color indexed="12"/>
        <rFont val="Times New Roman"/>
        <family val="1"/>
      </rPr>
      <t xml:space="preserve"> =</t>
    </r>
  </si>
  <si>
    <r>
      <t>D</t>
    </r>
    <r>
      <rPr>
        <sz val="8"/>
        <color indexed="12"/>
        <rFont val="Times New Roman"/>
        <family val="1"/>
      </rPr>
      <t>A(H)</t>
    </r>
    <r>
      <rPr>
        <sz val="12"/>
        <color indexed="12"/>
        <rFont val="Times New Roman"/>
        <family val="1"/>
      </rPr>
      <t xml:space="preserve"> =</t>
    </r>
  </si>
  <si>
    <r>
      <t>D</t>
    </r>
    <r>
      <rPr>
        <sz val="8"/>
        <color indexed="12"/>
        <rFont val="Times New Roman"/>
        <family val="1"/>
      </rPr>
      <t>A(B)</t>
    </r>
    <r>
      <rPr>
        <sz val="12"/>
        <color indexed="12"/>
        <rFont val="Times New Roman"/>
        <family val="1"/>
      </rPr>
      <t xml:space="preserve"> =</t>
    </r>
  </si>
  <si>
    <r>
      <t xml:space="preserve">Estimated route exposure
</t>
    </r>
    <r>
      <rPr>
        <sz val="11"/>
        <color indexed="12"/>
        <rFont val="Times New Roman"/>
        <family val="1"/>
      </rPr>
      <t>[mg/kg bw/day]</t>
    </r>
  </si>
  <si>
    <r>
      <t xml:space="preserve">Systemic exposure
</t>
    </r>
    <r>
      <rPr>
        <sz val="11"/>
        <color indexed="12"/>
        <rFont val="Times New Roman"/>
        <family val="1"/>
      </rPr>
      <t>[mg/kg bw/day]</t>
    </r>
  </si>
  <si>
    <t>(do not select a RESPIRATORY PROTECTION when T-shirt and shorts are considered)</t>
  </si>
  <si>
    <t>(do not select GLOVES when T-shirt and shorts are considered)</t>
  </si>
  <si>
    <t>(do not select HEAD PROTECTION when T-shirt and shorts are considered)</t>
  </si>
  <si>
    <t>T-shirt &amp; shorts</t>
  </si>
  <si>
    <t>Absorbed dose and % of AOEL:</t>
  </si>
  <si>
    <t>% of AOEL</t>
  </si>
  <si>
    <r>
      <t>D</t>
    </r>
    <r>
      <rPr>
        <vertAlign val="superscript"/>
        <sz val="12"/>
        <color indexed="12"/>
        <rFont val="Times New Roman"/>
        <family val="1"/>
      </rPr>
      <t>*</t>
    </r>
    <r>
      <rPr>
        <vertAlign val="subscript"/>
        <sz val="12"/>
        <color indexed="12"/>
        <rFont val="Times New Roman"/>
        <family val="1"/>
      </rPr>
      <t>A(B) Body - T-shirt &amp; shorts</t>
    </r>
  </si>
  <si>
    <t>Unprotected body (actual)
T-shirt &amp; shorts</t>
  </si>
  <si>
    <t>Unprotected hands (µg)</t>
  </si>
  <si>
    <t>Protected hands (µg)</t>
  </si>
  <si>
    <t>Protective gloves (µg)</t>
  </si>
  <si>
    <t>Inhalation (µg)</t>
  </si>
  <si>
    <t>PHE (µg)</t>
  </si>
  <si>
    <t>AHE (µg)</t>
  </si>
  <si>
    <t xml:space="preserve">Upper arms potential (outer) (µg) </t>
  </si>
  <si>
    <t>Chest potential (outer) (µg)</t>
  </si>
  <si>
    <t>Back potential (outer) (µg)</t>
  </si>
  <si>
    <t>Forearms potential (outer) (µg)</t>
  </si>
  <si>
    <t>Thighs potential (outer) (µg)</t>
  </si>
  <si>
    <t>Lower legs potential (outer) (µg)</t>
  </si>
  <si>
    <t>Feet (µg) potential (outer)</t>
  </si>
  <si>
    <t>Head actual (µg) [default to head potential]</t>
  </si>
  <si>
    <t>Neck front actual (µg) [default to neck front potential]</t>
  </si>
  <si>
    <t>Neck back actual (µg) [default to neck back potential]</t>
  </si>
  <si>
    <t>Upper arms actual (µg)</t>
  </si>
  <si>
    <t>Chest actual (µg)</t>
  </si>
  <si>
    <t>Back actual (µg)</t>
  </si>
  <si>
    <t>Forearms actual (µg)</t>
  </si>
  <si>
    <t>Thighs actual (µg)</t>
  </si>
  <si>
    <t>Lower legs actual (µg)</t>
  </si>
  <si>
    <t>Feet actual (µg)</t>
  </si>
  <si>
    <t>Lower limbs measured</t>
  </si>
  <si>
    <t>Lower limbs calculated</t>
  </si>
  <si>
    <t>Head total measured</t>
  </si>
  <si>
    <t>Head total calculated</t>
  </si>
  <si>
    <t>Trunk measured</t>
  </si>
  <si>
    <t>Trunk calculated</t>
  </si>
  <si>
    <t>Higher limbs measured</t>
  </si>
  <si>
    <t>Higer limbs calculated</t>
  </si>
  <si>
    <t>Body actual measured</t>
  </si>
  <si>
    <t>Body actual calculated</t>
  </si>
  <si>
    <t>Total body potential measured</t>
  </si>
  <si>
    <t>Total body potential calculated</t>
  </si>
  <si>
    <t>Sleeves measured</t>
  </si>
  <si>
    <t>Legs measured</t>
  </si>
  <si>
    <t>PHE (µg/kg a.s. loaded)</t>
  </si>
  <si>
    <t>AHE (µg/kg a.s. loaded)</t>
  </si>
  <si>
    <t>Inhalation (µg/kg a.s. loaded)</t>
  </si>
  <si>
    <t>AHE (µg/kg a.s. Applied)</t>
  </si>
  <si>
    <t>PHE (µg/kg a.s. Applied)</t>
  </si>
  <si>
    <t>Inhalation (µg/kg a.s. applied)</t>
  </si>
  <si>
    <t>02-11</t>
  </si>
  <si>
    <t>02-12</t>
  </si>
  <si>
    <t>02-13</t>
  </si>
  <si>
    <t>02-14</t>
  </si>
  <si>
    <t>02-15</t>
  </si>
  <si>
    <t>02-17</t>
  </si>
  <si>
    <t>02-18</t>
  </si>
  <si>
    <t>02-19</t>
  </si>
  <si>
    <t>02-20</t>
  </si>
  <si>
    <t>02-21</t>
  </si>
  <si>
    <t>02-22</t>
  </si>
  <si>
    <t>02-23</t>
  </si>
  <si>
    <t>02-24</t>
  </si>
  <si>
    <t>02-25</t>
  </si>
  <si>
    <t>02-26</t>
  </si>
  <si>
    <t>02-27</t>
  </si>
  <si>
    <t>02-28</t>
  </si>
  <si>
    <t>02-29</t>
  </si>
  <si>
    <t>02-30</t>
  </si>
  <si>
    <t>02-31</t>
  </si>
  <si>
    <t>02-32</t>
  </si>
  <si>
    <t>02-33</t>
  </si>
  <si>
    <t>&lt;LOQ</t>
  </si>
  <si>
    <t>04/2</t>
  </si>
  <si>
    <t>04/3</t>
  </si>
  <si>
    <t>04/5</t>
  </si>
  <si>
    <t>04/6</t>
  </si>
  <si>
    <t>04/7</t>
  </si>
  <si>
    <t>04/8</t>
  </si>
  <si>
    <t>04/11</t>
  </si>
  <si>
    <t>04/12</t>
  </si>
  <si>
    <t>04/14</t>
  </si>
  <si>
    <t>04/15</t>
  </si>
  <si>
    <t>04/17</t>
  </si>
  <si>
    <t>04/18</t>
  </si>
  <si>
    <t>04/19</t>
  </si>
  <si>
    <t>04/20</t>
  </si>
  <si>
    <t>04/21</t>
  </si>
  <si>
    <t>04/23</t>
  </si>
  <si>
    <t>04/24</t>
  </si>
  <si>
    <t>04/27</t>
  </si>
  <si>
    <t>04/28</t>
  </si>
  <si>
    <t>04/29</t>
  </si>
  <si>
    <t>05/2</t>
  </si>
  <si>
    <t>05/4</t>
  </si>
  <si>
    <t>05/8</t>
  </si>
  <si>
    <t>05/10</t>
  </si>
  <si>
    <t>05/12</t>
  </si>
  <si>
    <t>05/14</t>
  </si>
  <si>
    <t>05/16</t>
  </si>
  <si>
    <t>05/18</t>
  </si>
  <si>
    <t>05/20</t>
  </si>
  <si>
    <t>05/22</t>
  </si>
  <si>
    <t>05/24</t>
  </si>
  <si>
    <t>05/26</t>
  </si>
  <si>
    <t>07/1</t>
  </si>
  <si>
    <t>07/2</t>
  </si>
  <si>
    <t>07/4</t>
  </si>
  <si>
    <t>07/5</t>
  </si>
  <si>
    <t>07/8</t>
  </si>
  <si>
    <t>07/9</t>
  </si>
  <si>
    <t>07/12</t>
  </si>
  <si>
    <t>07/16</t>
  </si>
  <si>
    <t>07/17</t>
  </si>
  <si>
    <t>07/19</t>
  </si>
  <si>
    <t>07/20</t>
  </si>
  <si>
    <t>07/22</t>
  </si>
  <si>
    <t>07/23</t>
  </si>
  <si>
    <t>07/26</t>
  </si>
  <si>
    <t>07/27</t>
  </si>
  <si>
    <t>07/29</t>
  </si>
  <si>
    <t>07/31</t>
  </si>
  <si>
    <t>07/32</t>
  </si>
  <si>
    <t>07/35</t>
  </si>
  <si>
    <t>07/36</t>
  </si>
  <si>
    <t>08/1</t>
  </si>
  <si>
    <t>08/2</t>
  </si>
  <si>
    <t>08/4</t>
  </si>
  <si>
    <t>08/5</t>
  </si>
  <si>
    <t>08/7</t>
  </si>
  <si>
    <t>08/8</t>
  </si>
  <si>
    <t>08/10</t>
  </si>
  <si>
    <t>08/11</t>
  </si>
  <si>
    <t>08/13</t>
  </si>
  <si>
    <t>08/14</t>
  </si>
  <si>
    <t>08/16</t>
  </si>
  <si>
    <t>08/17</t>
  </si>
  <si>
    <t>08/19</t>
  </si>
  <si>
    <t>08/20</t>
  </si>
  <si>
    <t>08/22</t>
  </si>
  <si>
    <t>08/23</t>
  </si>
  <si>
    <t>08/25</t>
  </si>
  <si>
    <t>08/26</t>
  </si>
  <si>
    <t>08/28</t>
  </si>
  <si>
    <t>08/29</t>
  </si>
  <si>
    <t>08/31</t>
  </si>
  <si>
    <t>08/32</t>
  </si>
  <si>
    <t>08/34</t>
  </si>
  <si>
    <t>08/35</t>
  </si>
  <si>
    <t>Head total measured (µg)</t>
  </si>
  <si>
    <t>Head total calculated (µg)</t>
  </si>
  <si>
    <t>12/01</t>
  </si>
  <si>
    <t>12/02</t>
  </si>
  <si>
    <t>12/03</t>
  </si>
  <si>
    <t>12/04</t>
  </si>
  <si>
    <t>12/07</t>
  </si>
  <si>
    <t>12/08</t>
  </si>
  <si>
    <t>12/09</t>
  </si>
  <si>
    <t>10/01</t>
  </si>
  <si>
    <t>10/02</t>
  </si>
  <si>
    <t>10/03</t>
  </si>
  <si>
    <t>10/04</t>
  </si>
  <si>
    <t>10/05</t>
  </si>
  <si>
    <t>10/06</t>
  </si>
  <si>
    <t>10/07</t>
  </si>
  <si>
    <t>10/08</t>
  </si>
  <si>
    <t>10/09</t>
  </si>
  <si>
    <t>13/01</t>
  </si>
  <si>
    <t>13/02</t>
  </si>
  <si>
    <t>13/03</t>
  </si>
  <si>
    <t>13/04</t>
  </si>
  <si>
    <t>13/05</t>
  </si>
  <si>
    <t>13/06</t>
  </si>
  <si>
    <t>13/09</t>
  </si>
  <si>
    <t>15/01</t>
  </si>
  <si>
    <t>15/02</t>
  </si>
  <si>
    <t>15/03</t>
  </si>
  <si>
    <t>15/04</t>
  </si>
  <si>
    <t>15/05</t>
  </si>
  <si>
    <t>15/06</t>
  </si>
  <si>
    <t>15/07</t>
  </si>
  <si>
    <t>15/08</t>
  </si>
  <si>
    <t>15/09</t>
  </si>
  <si>
    <t>02/33</t>
  </si>
  <si>
    <t>Amount of a.s. mixed (kg)</t>
  </si>
  <si>
    <t>Higher limbs calculated</t>
  </si>
  <si>
    <t>Back (outer) (µg)</t>
  </si>
  <si>
    <t>Chest (outer) (µg)</t>
  </si>
  <si>
    <t xml:space="preserve">Upper arms (outer) (µg) </t>
  </si>
  <si>
    <t>Forearms (outer) (µg)</t>
  </si>
  <si>
    <t>Thighs (outer) (µg)</t>
  </si>
  <si>
    <t>Lower legs (outer) (µg)</t>
  </si>
  <si>
    <t>Total body (outer) calculated</t>
  </si>
  <si>
    <t>Lower limbs (outer) calculated</t>
  </si>
  <si>
    <t>Filter (µg)</t>
  </si>
  <si>
    <t>Upper arms (inner) (µg)</t>
  </si>
  <si>
    <t>Forearms (inner) (µg)</t>
  </si>
  <si>
    <t>Higer limbs (inner) calculated</t>
  </si>
  <si>
    <t>Chest (inner) (µg)</t>
  </si>
  <si>
    <t>Back (inner) (µg)</t>
  </si>
  <si>
    <t>Trunk (inner) calculated</t>
  </si>
  <si>
    <t>Thighs (inner) (µg)</t>
  </si>
  <si>
    <t>Lower legs (inner) (µg)</t>
  </si>
  <si>
    <t>Lower limbs (inner) calculated</t>
  </si>
  <si>
    <t>Amount of a.s. applied (kg)</t>
  </si>
  <si>
    <t>Protected hands calculated (µg)</t>
  </si>
  <si>
    <t>Protective gloves calculated (µg)</t>
  </si>
  <si>
    <t>Potential body (µg)</t>
  </si>
  <si>
    <t>Potential head (µg)</t>
  </si>
  <si>
    <t>Actual body (µg)</t>
  </si>
  <si>
    <t>Potential body (µg/kg a.s. applied)</t>
  </si>
  <si>
    <t>Potential head (µg/kg a.s. applied)</t>
  </si>
  <si>
    <t>Actual body (µg/kg a.s. applied)</t>
  </si>
  <si>
    <t>1/2 upper arms +lower arms outer (µg)</t>
  </si>
  <si>
    <t>The following should be noted with respect to the use of the table entitled “Calculation of route exposure”.  There is an apparent anomaly concerning the intermediate, normalised values for dermal exposure to the body [DA(B)] for “Unprotected” and “Protected” operators:  the value for the protected body is higher (465.15 mg/kg a.s. in cell C21) than that for the unprotected operator (17.08 mg/kg a.s. in cell B21).  The reason for this is that, for the unprotected operator, the actual dermal exposure of the body is taken from the relevant data set in the “Expo Appl” worksheet and this value is used without modification, i.e. by using an exposure reduction factor, in calculating the estimated dermal exposure (cell E21 in the “Calculation of route exposure” table). For the protected operator, the total potential dermal exposure value is taken from the “Expo Appl” worksheet and is modified using the exposure reduction factor in cell F21 (0.005) for use of impervious protective clothing (cell G21).  The essential point to note is that the normalised data are intermediate values used in the calculation of the estimated, product-specific exposures, and the unprotected and protected scenarios are based on actual and potential dermal exposures, respectively.</t>
  </si>
  <si>
    <t>(when T-shirt + shorts are considered for Scenario 1, predicted systemic exposure is calculated on a specific sheet)</t>
  </si>
  <si>
    <t>(when T-shirt + shorts are considered for Scenario 2, predicted systemic exposure is calculated on a specific sheet)</t>
  </si>
  <si>
    <t>(when T-shirt + shorts are considered for Scenario 3, predicted systemic exposure is calculated on a specific sheet)</t>
  </si>
  <si>
    <t>(when T-shirt + shorts are considered for Scenario 4, predicted systemic exposure is calculated on a specific sheet)</t>
  </si>
  <si>
    <t>Filter
M/L</t>
  </si>
  <si>
    <t>Filter
Application</t>
  </si>
  <si>
    <t>Protective gloves (µg)
Application</t>
  </si>
  <si>
    <t>Protective gloves (µg)
M/L</t>
  </si>
  <si>
    <t>EOEM 02-03-10-12 &amp; 13</t>
  </si>
  <si>
    <t>EOEM 04-07 &amp; 14</t>
  </si>
  <si>
    <r>
      <t>Actual body with T-shirt &amp; shorts</t>
    </r>
    <r>
      <rPr>
        <sz val="10"/>
        <color indexed="10"/>
        <rFont val="Arial"/>
        <family val="2"/>
      </rPr>
      <t xml:space="preserve"> (µg)</t>
    </r>
  </si>
  <si>
    <t>GREENHOUSE MODEL v_2.1</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</si>
</sst>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0.0???_)"/>
    <numFmt numFmtId="173" formatCode="???0_,_0_?_?_?_)"/>
    <numFmt numFmtId="174" formatCode="???0.0???_)\ &quot;x&quot;"/>
    <numFmt numFmtId="175" formatCode="???0.0???_)\ &quot;=&quot;"/>
    <numFmt numFmtId="176" formatCode="???0_,_0_0_0_0_)"/>
    <numFmt numFmtId="177" formatCode="?0.0???_)"/>
    <numFmt numFmtId="178" formatCode="??0_)"/>
    <numFmt numFmtId="179" formatCode="???0.0???_0_0_)"/>
    <numFmt numFmtId="180" formatCode="???0.0?????_)"/>
    <numFmt numFmtId="181" formatCode=";;;_AGeneral"/>
    <numFmt numFmtId="182" formatCode="???0.0??_?_)"/>
    <numFmt numFmtId="183" formatCode="???0.0_0_0_0_)"/>
    <numFmt numFmtId="184" formatCode="?0.0????_)"/>
    <numFmt numFmtId="185" formatCode="0.0"/>
    <numFmt numFmtId="186" formatCode="??0.0???_)"/>
    <numFmt numFmtId="187" formatCode="_-[$€]* #,##0.00_-;\-[$€]* #,##0.00_-;_-[$€]* &quot;-&quot;??_-;_-@_-"/>
    <numFmt numFmtId="188" formatCode="0.000"/>
    <numFmt numFmtId="189" formatCode="0.0000"/>
    <numFmt numFmtId="190" formatCode="_-* #,##0_-;\-* #,##0_-;_-* &quot;-&quot;??_-;_-@_-"/>
    <numFmt numFmtId="191" formatCode="0.000000"/>
    <numFmt numFmtId="192" formatCode="0.000000000"/>
    <numFmt numFmtId="193" formatCode="??0.0_)"/>
    <numFmt numFmtId="194" formatCode="???0.00_._0_0_0_0_)"/>
    <numFmt numFmtId="195" formatCode="_-* #,##0.000_-;\-* #,##0.000_-;_-* &quot;-&quot;??_-;_-@_-"/>
    <numFmt numFmtId="196" formatCode="0.00000000"/>
    <numFmt numFmtId="197" formatCode="0.0000000"/>
    <numFmt numFmtId="198" formatCode="?0.0?????_)"/>
    <numFmt numFmtId="199" formatCode="0.00000"/>
    <numFmt numFmtId="200" formatCode="???0.0??????_0_0_)"/>
    <numFmt numFmtId="201" formatCode="???0.0???????_0_0_)"/>
    <numFmt numFmtId="202" formatCode="_-* #,##0.0_-;\-* #,##0.0_-;_-* &quot;-&quot;??_-;_-@_-"/>
    <numFmt numFmtId="203" formatCode="_-* #,##0.0000_-;\-* #,##0.0000_-;_-* &quot;-&quot;??_-;_-@_-"/>
    <numFmt numFmtId="204" formatCode="???0.0????_)"/>
    <numFmt numFmtId="205" formatCode="???0.0??_)"/>
    <numFmt numFmtId="206" formatCode="???0.0?_)"/>
    <numFmt numFmtId="207" formatCode="_-* #,##0.00000_-;\-* #,##0.00000_-;_-* &quot;-&quot;??_-;_-@_-"/>
    <numFmt numFmtId="208" formatCode="&quot;Vrai&quot;;&quot;Vrai&quot;;&quot;Faux&quot;"/>
    <numFmt numFmtId="209" formatCode="&quot;Actif&quot;;&quot;Actif&quot;;&quot;Inactif&quot;"/>
    <numFmt numFmtId="210" formatCode="[$€-2]\ #,##0.00_);[Red]\([$€-2]\ #,##0.00\)"/>
  </numFmts>
  <fonts count="75">
    <font>
      <sz val="10"/>
      <name val="Arial"/>
      <family val="0"/>
    </font>
    <font>
      <sz val="12"/>
      <name val="Arial MT"/>
      <family val="0"/>
    </font>
    <font>
      <sz val="8"/>
      <name val="Tahoma"/>
      <family val="2"/>
    </font>
    <font>
      <b/>
      <sz val="8"/>
      <name val="Tahoma"/>
      <family val="2"/>
    </font>
    <font>
      <sz val="8"/>
      <name val="Arial"/>
      <family val="2"/>
    </font>
    <font>
      <b/>
      <u val="single"/>
      <sz val="12"/>
      <name val="Times New Roman"/>
      <family val="1"/>
    </font>
    <font>
      <sz val="12"/>
      <name val="Times New Roman"/>
      <family val="1"/>
    </font>
    <font>
      <sz val="12"/>
      <color indexed="10"/>
      <name val="Times New Roman"/>
      <family val="1"/>
    </font>
    <font>
      <sz val="10"/>
      <name val="Times New Roman"/>
      <family val="1"/>
    </font>
    <font>
      <sz val="10"/>
      <color indexed="10"/>
      <name val="Times New Roman"/>
      <family val="1"/>
    </font>
    <font>
      <b/>
      <sz val="12"/>
      <name val="Times New Roman"/>
      <family val="1"/>
    </font>
    <font>
      <sz val="11"/>
      <name val="Times New Roman"/>
      <family val="1"/>
    </font>
    <font>
      <b/>
      <u val="single"/>
      <sz val="14"/>
      <name val="Times New Roman"/>
      <family val="1"/>
    </font>
    <font>
      <b/>
      <sz val="11"/>
      <name val="Times New Roman"/>
      <family val="1"/>
    </font>
    <font>
      <sz val="12"/>
      <color indexed="9"/>
      <name val="Times New Roman"/>
      <family val="1"/>
    </font>
    <font>
      <sz val="12"/>
      <color indexed="8"/>
      <name val="Times New Roman"/>
      <family val="1"/>
    </font>
    <font>
      <b/>
      <sz val="10"/>
      <name val="Times New Roman"/>
      <family val="1"/>
    </font>
    <font>
      <sz val="10"/>
      <color indexed="12"/>
      <name val="Times New Roman"/>
      <family val="1"/>
    </font>
    <font>
      <sz val="12"/>
      <color indexed="12"/>
      <name val="Times New Roman"/>
      <family val="1"/>
    </font>
    <font>
      <vertAlign val="superscript"/>
      <sz val="12"/>
      <color indexed="12"/>
      <name val="Times New Roman"/>
      <family val="1"/>
    </font>
    <font>
      <vertAlign val="subscript"/>
      <sz val="12"/>
      <color indexed="12"/>
      <name val="Times New Roman"/>
      <family val="1"/>
    </font>
    <font>
      <sz val="8"/>
      <name val="Times New Roman"/>
      <family val="1"/>
    </font>
    <font>
      <sz val="10"/>
      <color indexed="8"/>
      <name val="Times New Roman"/>
      <family val="1"/>
    </font>
    <font>
      <sz val="11"/>
      <color indexed="8"/>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9"/>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Times New Roman"/>
      <family val="1"/>
    </font>
    <font>
      <sz val="10"/>
      <color indexed="9"/>
      <name val="Times New Roman"/>
      <family val="1"/>
    </font>
    <font>
      <sz val="9"/>
      <color indexed="9"/>
      <name val="Arial"/>
      <family val="2"/>
    </font>
    <font>
      <sz val="11"/>
      <color indexed="9"/>
      <name val="Times New Roman"/>
      <family val="1"/>
    </font>
    <font>
      <b/>
      <sz val="12"/>
      <color indexed="10"/>
      <name val="Times New Roman"/>
      <family val="1"/>
    </font>
    <font>
      <sz val="10"/>
      <color indexed="57"/>
      <name val="Times New Roman"/>
      <family val="1"/>
    </font>
    <font>
      <vertAlign val="superscript"/>
      <sz val="12"/>
      <color indexed="9"/>
      <name val="Times New Roman"/>
      <family val="1"/>
    </font>
    <font>
      <b/>
      <sz val="12"/>
      <color indexed="9"/>
      <name val="Times New Roman"/>
      <family val="1"/>
    </font>
    <font>
      <b/>
      <sz val="10"/>
      <color indexed="10"/>
      <name val="Arial"/>
      <family val="2"/>
    </font>
    <font>
      <b/>
      <sz val="10"/>
      <name val="Arial"/>
      <family val="2"/>
    </font>
    <font>
      <sz val="10"/>
      <color indexed="8"/>
      <name val="Arial"/>
      <family val="2"/>
    </font>
    <font>
      <b/>
      <sz val="10"/>
      <color indexed="12"/>
      <name val="Arial"/>
      <family val="2"/>
    </font>
    <font>
      <b/>
      <sz val="10"/>
      <color indexed="14"/>
      <name val="Arial"/>
      <family val="2"/>
    </font>
    <font>
      <b/>
      <sz val="12"/>
      <color indexed="12"/>
      <name val="Times New Roman"/>
      <family val="1"/>
    </font>
    <font>
      <sz val="9"/>
      <color indexed="12"/>
      <name val="Arial"/>
      <family val="2"/>
    </font>
    <font>
      <b/>
      <u val="single"/>
      <sz val="12"/>
      <color indexed="12"/>
      <name val="Times New Roman"/>
      <family val="1"/>
    </font>
    <font>
      <sz val="8"/>
      <color indexed="12"/>
      <name val="Times New Roman"/>
      <family val="1"/>
    </font>
    <font>
      <sz val="11"/>
      <color indexed="12"/>
      <name val="Times New Roman"/>
      <family val="1"/>
    </font>
    <font>
      <sz val="10"/>
      <color indexed="12"/>
      <name val="Arial"/>
      <family val="2"/>
    </font>
    <font>
      <b/>
      <sz val="11"/>
      <color indexed="45"/>
      <name val="Times New Roman"/>
      <family val="1"/>
    </font>
    <font>
      <sz val="11"/>
      <color indexed="45"/>
      <name val="Times New Roman"/>
      <family val="1"/>
    </font>
    <font>
      <sz val="12"/>
      <color indexed="45"/>
      <name val="Times New Roman"/>
      <family val="1"/>
    </font>
    <font>
      <sz val="9"/>
      <color indexed="10"/>
      <name val="Arial"/>
      <family val="2"/>
    </font>
    <font>
      <sz val="9"/>
      <color indexed="57"/>
      <name val="Arial"/>
      <family val="2"/>
    </font>
    <font>
      <sz val="9"/>
      <color indexed="14"/>
      <name val="Arial"/>
      <family val="2"/>
    </font>
    <font>
      <b/>
      <sz val="9"/>
      <name val="Arial"/>
      <family val="2"/>
    </font>
    <font>
      <sz val="10"/>
      <color indexed="57"/>
      <name val="Arial"/>
      <family val="2"/>
    </font>
    <font>
      <sz val="10"/>
      <color indexed="10"/>
      <name val="Arial"/>
      <family val="2"/>
    </font>
    <font>
      <sz val="9"/>
      <color indexed="8"/>
      <name val="Arial"/>
      <family val="2"/>
    </font>
    <font>
      <b/>
      <sz val="9"/>
      <color indexed="12"/>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8"/>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color indexed="8"/>
      </left>
      <right>
        <color indexed="63"/>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33" fillId="3" borderId="0" applyNumberFormat="0" applyBorder="0" applyAlignment="0" applyProtection="0"/>
    <xf numFmtId="0" fontId="29" fillId="20" borderId="1" applyNumberFormat="0" applyAlignment="0" applyProtection="0"/>
    <xf numFmtId="0" fontId="43" fillId="21" borderId="2"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169" fontId="31" fillId="0" borderId="0" applyFont="0" applyFill="0" applyBorder="0" applyAlignment="0" applyProtection="0"/>
    <xf numFmtId="168" fontId="31" fillId="0" borderId="0" applyFont="0" applyFill="0" applyBorder="0" applyAlignment="0" applyProtection="0"/>
    <xf numFmtId="187" fontId="31" fillId="0" borderId="0" applyFont="0" applyFill="0" applyBorder="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35"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32" fillId="7" borderId="1" applyNumberFormat="0" applyAlignment="0" applyProtection="0"/>
    <xf numFmtId="0" fontId="30" fillId="0" borderId="6" applyNumberFormat="0" applyFill="0" applyAlignment="0" applyProtection="0"/>
    <xf numFmtId="0" fontId="34" fillId="22"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pplyProtection="0">
      <alignment/>
    </xf>
    <xf numFmtId="0" fontId="31" fillId="0" borderId="0">
      <alignment/>
      <protection/>
    </xf>
    <xf numFmtId="0" fontId="31" fillId="0" borderId="0">
      <alignment/>
      <protection/>
    </xf>
    <xf numFmtId="0" fontId="31" fillId="0" borderId="0">
      <alignment/>
      <protection/>
    </xf>
    <xf numFmtId="0" fontId="31" fillId="23" borderId="7" applyNumberFormat="0" applyFont="0" applyAlignment="0" applyProtection="0"/>
    <xf numFmtId="0" fontId="36" fillId="20" borderId="8" applyNumberFormat="0" applyAlignment="0" applyProtection="0"/>
    <xf numFmtId="9" fontId="31" fillId="0" borderId="0" applyFont="0" applyFill="0" applyBorder="0" applyAlignment="0" applyProtection="0"/>
    <xf numFmtId="0" fontId="38" fillId="0" borderId="0" applyNumberFormat="0" applyFill="0" applyBorder="0" applyAlignment="0" applyProtection="0"/>
    <xf numFmtId="0" fontId="42" fillId="0" borderId="9" applyNumberFormat="0" applyFill="0" applyAlignment="0" applyProtection="0"/>
    <xf numFmtId="0" fontId="28" fillId="0" borderId="0" applyNumberFormat="0" applyFill="0" applyBorder="0" applyAlignment="0" applyProtection="0"/>
  </cellStyleXfs>
  <cellXfs count="708">
    <xf numFmtId="0" fontId="0" fillId="0" borderId="0" xfId="0" applyAlignment="1">
      <alignment/>
    </xf>
    <xf numFmtId="0" fontId="5" fillId="0" borderId="0" xfId="63" applyNumberFormat="1" applyFont="1" applyAlignment="1" applyProtection="1">
      <alignment/>
      <protection/>
    </xf>
    <xf numFmtId="0" fontId="6" fillId="0" borderId="0" xfId="63" applyNumberFormat="1" applyFont="1" applyAlignment="1" applyProtection="1">
      <alignment/>
      <protection/>
    </xf>
    <xf numFmtId="0" fontId="6" fillId="0" borderId="0" xfId="0" applyFont="1" applyAlignment="1">
      <alignment/>
    </xf>
    <xf numFmtId="0" fontId="6" fillId="0" borderId="10" xfId="63" applyNumberFormat="1" applyFont="1" applyBorder="1" applyAlignment="1" applyProtection="1">
      <alignment/>
      <protection/>
    </xf>
    <xf numFmtId="0" fontId="6" fillId="0" borderId="11" xfId="0" applyNumberFormat="1" applyFont="1" applyBorder="1" applyAlignment="1" applyProtection="1">
      <alignment/>
      <protection/>
    </xf>
    <xf numFmtId="0" fontId="6" fillId="0" borderId="11" xfId="0" applyFont="1" applyBorder="1" applyAlignment="1">
      <alignment/>
    </xf>
    <xf numFmtId="0" fontId="6" fillId="0" borderId="12" xfId="63" applyNumberFormat="1" applyFont="1" applyBorder="1" applyAlignment="1" applyProtection="1">
      <alignment/>
      <protection/>
    </xf>
    <xf numFmtId="0" fontId="6" fillId="0" borderId="0" xfId="63" applyNumberFormat="1" applyFont="1" applyBorder="1" applyAlignment="1" applyProtection="1">
      <alignment/>
      <protection/>
    </xf>
    <xf numFmtId="0" fontId="6" fillId="0" borderId="0" xfId="0" applyNumberFormat="1" applyFont="1" applyBorder="1" applyAlignment="1" applyProtection="1">
      <alignment/>
      <protection/>
    </xf>
    <xf numFmtId="0" fontId="6" fillId="0" borderId="0" xfId="0" applyFont="1" applyBorder="1" applyAlignment="1">
      <alignment/>
    </xf>
    <xf numFmtId="0" fontId="6" fillId="0" borderId="13" xfId="0" applyFont="1" applyBorder="1" applyAlignment="1">
      <alignment/>
    </xf>
    <xf numFmtId="172" fontId="6" fillId="0" borderId="0" xfId="63" applyNumberFormat="1" applyFont="1" applyBorder="1" applyAlignment="1" applyProtection="1">
      <alignment horizontal="center"/>
      <protection/>
    </xf>
    <xf numFmtId="173" fontId="6" fillId="0" borderId="0" xfId="63" applyNumberFormat="1" applyFont="1" applyBorder="1" applyAlignment="1" applyProtection="1">
      <alignment horizontal="center"/>
      <protection/>
    </xf>
    <xf numFmtId="0" fontId="7" fillId="0" borderId="0" xfId="63" applyNumberFormat="1" applyFont="1" applyFill="1" applyBorder="1" applyAlignment="1" applyProtection="1">
      <alignment/>
      <protection/>
    </xf>
    <xf numFmtId="0" fontId="6" fillId="0" borderId="0" xfId="63" applyNumberFormat="1" applyFont="1" applyBorder="1" applyAlignment="1" applyProtection="1">
      <alignment horizontal="right"/>
      <protection/>
    </xf>
    <xf numFmtId="173" fontId="6" fillId="0" borderId="0" xfId="63" applyNumberFormat="1" applyFont="1" applyBorder="1" applyAlignment="1" applyProtection="1">
      <alignment/>
      <protection/>
    </xf>
    <xf numFmtId="0" fontId="6" fillId="0" borderId="14" xfId="63" applyNumberFormat="1" applyFont="1" applyBorder="1" applyAlignment="1" applyProtection="1">
      <alignment horizontal="center"/>
      <protection/>
    </xf>
    <xf numFmtId="0" fontId="6" fillId="0" borderId="15" xfId="63" applyNumberFormat="1" applyFont="1" applyBorder="1" applyAlignment="1" applyProtection="1">
      <alignment/>
      <protection/>
    </xf>
    <xf numFmtId="0" fontId="6" fillId="0" borderId="15" xfId="0" applyFont="1" applyBorder="1" applyAlignment="1">
      <alignment/>
    </xf>
    <xf numFmtId="172" fontId="6" fillId="0" borderId="0" xfId="63" applyNumberFormat="1" applyFont="1" applyBorder="1" applyAlignment="1" applyProtection="1">
      <alignment/>
      <protection/>
    </xf>
    <xf numFmtId="172" fontId="6" fillId="0" borderId="0" xfId="63" applyNumberFormat="1" applyFont="1" applyAlignment="1" applyProtection="1">
      <alignment/>
      <protection/>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xf>
    <xf numFmtId="181" fontId="8" fillId="0" borderId="17" xfId="0" applyNumberFormat="1" applyFont="1" applyBorder="1" applyAlignment="1">
      <alignment/>
    </xf>
    <xf numFmtId="0" fontId="6" fillId="0" borderId="12" xfId="0" applyFont="1" applyBorder="1" applyAlignment="1">
      <alignment horizontal="center"/>
    </xf>
    <xf numFmtId="174" fontId="6" fillId="0" borderId="0" xfId="63" applyNumberFormat="1" applyFont="1" applyBorder="1" applyAlignment="1" applyProtection="1">
      <alignment/>
      <protection/>
    </xf>
    <xf numFmtId="181" fontId="8" fillId="0" borderId="18" xfId="0" applyNumberFormat="1" applyFont="1" applyBorder="1" applyAlignment="1">
      <alignment/>
    </xf>
    <xf numFmtId="0" fontId="6" fillId="0" borderId="14" xfId="0" applyFont="1" applyBorder="1" applyAlignment="1">
      <alignment horizontal="center"/>
    </xf>
    <xf numFmtId="181" fontId="8" fillId="0" borderId="19" xfId="0" applyNumberFormat="1" applyFont="1" applyBorder="1" applyAlignment="1">
      <alignment/>
    </xf>
    <xf numFmtId="0" fontId="9" fillId="0" borderId="0" xfId="0" applyFont="1" applyAlignment="1">
      <alignment vertical="top"/>
    </xf>
    <xf numFmtId="0" fontId="10" fillId="0" borderId="0" xfId="63" applyNumberFormat="1" applyFont="1" applyAlignment="1" applyProtection="1">
      <alignment horizontal="center"/>
      <protection/>
    </xf>
    <xf numFmtId="0" fontId="6" fillId="0" borderId="20" xfId="0" applyFont="1" applyBorder="1" applyAlignment="1">
      <alignment horizontal="center" vertical="center" wrapText="1"/>
    </xf>
    <xf numFmtId="0" fontId="6" fillId="0" borderId="21" xfId="0" applyFont="1" applyBorder="1" applyAlignment="1">
      <alignment/>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xf>
    <xf numFmtId="0" fontId="12" fillId="0" borderId="0" xfId="63" applyNumberFormat="1" applyFont="1" applyAlignment="1" applyProtection="1">
      <alignment/>
      <protection/>
    </xf>
    <xf numFmtId="0" fontId="6" fillId="0" borderId="0" xfId="0" applyNumberFormat="1" applyFont="1" applyAlignment="1" applyProtection="1">
      <alignment/>
      <protection/>
    </xf>
    <xf numFmtId="172" fontId="13" fillId="0" borderId="0" xfId="63" applyNumberFormat="1" applyFont="1" applyBorder="1" applyAlignment="1" applyProtection="1">
      <alignment/>
      <protection hidden="1"/>
    </xf>
    <xf numFmtId="0" fontId="13" fillId="0" borderId="0" xfId="63" applyNumberFormat="1" applyFont="1" applyBorder="1" applyAlignment="1" applyProtection="1">
      <alignment/>
      <protection hidden="1"/>
    </xf>
    <xf numFmtId="178" fontId="14" fillId="0" borderId="12" xfId="63" applyNumberFormat="1" applyFont="1" applyBorder="1" applyAlignment="1" applyProtection="1">
      <alignment horizontal="center"/>
      <protection/>
    </xf>
    <xf numFmtId="0" fontId="8" fillId="0" borderId="0" xfId="0" applyFont="1" applyAlignment="1">
      <alignment/>
    </xf>
    <xf numFmtId="0" fontId="8" fillId="0" borderId="0" xfId="0" applyNumberFormat="1" applyFont="1" applyAlignment="1">
      <alignment vertical="center" wrapText="1"/>
    </xf>
    <xf numFmtId="0" fontId="8" fillId="0" borderId="0" xfId="63" applyNumberFormat="1" applyFont="1" applyAlignment="1" applyProtection="1">
      <alignment vertical="center" wrapText="1"/>
      <protection/>
    </xf>
    <xf numFmtId="0" fontId="8" fillId="0" borderId="0" xfId="0" applyFont="1" applyAlignment="1">
      <alignment horizontal="right"/>
    </xf>
    <xf numFmtId="0" fontId="16" fillId="0" borderId="0" xfId="0" applyNumberFormat="1"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8" fillId="0" borderId="0" xfId="0" applyFont="1" applyAlignment="1">
      <alignment horizontal="center"/>
    </xf>
    <xf numFmtId="0" fontId="8" fillId="0" borderId="0" xfId="0" applyFont="1" applyAlignment="1" quotePrefix="1">
      <alignment/>
    </xf>
    <xf numFmtId="0" fontId="8" fillId="0" borderId="0" xfId="0" applyFont="1" applyAlignment="1" quotePrefix="1">
      <alignment horizontal="right"/>
    </xf>
    <xf numFmtId="0" fontId="8" fillId="0" borderId="0" xfId="0" applyFont="1" applyAlignment="1" quotePrefix="1">
      <alignment horizontal="left"/>
    </xf>
    <xf numFmtId="0" fontId="8" fillId="0" borderId="0" xfId="0" applyFont="1" applyAlignment="1">
      <alignment vertical="center"/>
    </xf>
    <xf numFmtId="0" fontId="17" fillId="0" borderId="0" xfId="0" applyFont="1" applyAlignment="1">
      <alignment vertical="center" wrapText="1"/>
    </xf>
    <xf numFmtId="0" fontId="18" fillId="0" borderId="0" xfId="0" applyNumberFormat="1" applyFont="1" applyAlignment="1">
      <alignment vertical="center" wrapText="1"/>
    </xf>
    <xf numFmtId="0" fontId="18" fillId="0" borderId="0" xfId="0" applyFont="1" applyAlignment="1">
      <alignment vertical="center" wrapText="1"/>
    </xf>
    <xf numFmtId="0" fontId="17" fillId="0" borderId="0" xfId="0" applyNumberFormat="1" applyFont="1" applyAlignment="1">
      <alignment vertical="center" wrapText="1"/>
    </xf>
    <xf numFmtId="0" fontId="8" fillId="0" borderId="0" xfId="0" applyNumberFormat="1" applyFont="1" applyAlignment="1">
      <alignment vertical="center"/>
    </xf>
    <xf numFmtId="0" fontId="8" fillId="0" borderId="0" xfId="0" applyFont="1" applyAlignment="1">
      <alignment horizontal="center" vertical="center"/>
    </xf>
    <xf numFmtId="0" fontId="18" fillId="0" borderId="0" xfId="63" applyNumberFormat="1" applyFont="1" applyAlignment="1" applyProtection="1">
      <alignment vertical="center"/>
      <protection/>
    </xf>
    <xf numFmtId="0" fontId="6" fillId="0" borderId="0" xfId="0" applyFont="1" applyAlignment="1">
      <alignment horizontal="center" vertical="center"/>
    </xf>
    <xf numFmtId="0" fontId="18" fillId="0" borderId="0" xfId="0" applyFont="1" applyAlignment="1">
      <alignment vertical="center"/>
    </xf>
    <xf numFmtId="0" fontId="17" fillId="0" borderId="0" xfId="0" applyFont="1" applyAlignment="1">
      <alignment horizontal="center" vertical="center"/>
    </xf>
    <xf numFmtId="0" fontId="6" fillId="0" borderId="0" xfId="63" applyNumberFormat="1" applyFont="1" applyBorder="1" applyAlignment="1" applyProtection="1">
      <alignment horizontal="center"/>
      <protection/>
    </xf>
    <xf numFmtId="0" fontId="6" fillId="0" borderId="12" xfId="0" applyFont="1" applyBorder="1" applyAlignment="1">
      <alignment horizontal="left" vertical="center" wrapText="1"/>
    </xf>
    <xf numFmtId="0" fontId="6" fillId="0" borderId="12" xfId="0" applyFont="1" applyBorder="1" applyAlignment="1">
      <alignment horizontal="left"/>
    </xf>
    <xf numFmtId="0" fontId="6" fillId="0" borderId="20" xfId="0" applyFont="1" applyBorder="1" applyAlignment="1">
      <alignment/>
    </xf>
    <xf numFmtId="181" fontId="6" fillId="0" borderId="11" xfId="63" applyNumberFormat="1" applyFont="1" applyBorder="1" applyAlignment="1" applyProtection="1">
      <alignment/>
      <protection/>
    </xf>
    <xf numFmtId="182" fontId="6" fillId="0" borderId="0" xfId="63" applyNumberFormat="1" applyFont="1" applyBorder="1" applyAlignment="1" applyProtection="1">
      <alignment horizontal="center"/>
      <protection/>
    </xf>
    <xf numFmtId="182" fontId="6" fillId="0" borderId="15" xfId="63" applyNumberFormat="1" applyFont="1" applyBorder="1" applyAlignment="1" applyProtection="1">
      <alignment horizontal="center"/>
      <protection/>
    </xf>
    <xf numFmtId="172" fontId="6" fillId="0" borderId="15" xfId="63" applyNumberFormat="1" applyFont="1" applyBorder="1" applyAlignment="1" applyProtection="1">
      <alignment horizontal="center"/>
      <protection/>
    </xf>
    <xf numFmtId="175" fontId="10" fillId="0" borderId="22" xfId="63" applyNumberFormat="1" applyFont="1" applyBorder="1" applyAlignment="1" applyProtection="1">
      <alignment horizontal="right"/>
      <protection/>
    </xf>
    <xf numFmtId="176" fontId="6" fillId="0" borderId="0" xfId="63" applyNumberFormat="1" applyFont="1" applyBorder="1" applyAlignment="1" applyProtection="1">
      <alignment/>
      <protection locked="0"/>
    </xf>
    <xf numFmtId="184" fontId="11" fillId="0" borderId="23" xfId="63" applyNumberFormat="1" applyFont="1" applyBorder="1" applyAlignment="1" applyProtection="1">
      <alignment horizontal="center"/>
      <protection/>
    </xf>
    <xf numFmtId="180" fontId="10" fillId="0" borderId="22" xfId="63" applyNumberFormat="1" applyFont="1" applyBorder="1" applyAlignment="1" applyProtection="1">
      <alignment horizontal="center"/>
      <protection/>
    </xf>
    <xf numFmtId="0" fontId="44" fillId="0" borderId="0" xfId="66" applyFont="1" applyAlignment="1" applyProtection="1">
      <alignment vertical="center"/>
      <protection/>
    </xf>
    <xf numFmtId="0" fontId="6" fillId="24" borderId="11" xfId="0" applyNumberFormat="1" applyFont="1" applyFill="1" applyBorder="1" applyAlignment="1" applyProtection="1">
      <alignment/>
      <protection/>
    </xf>
    <xf numFmtId="0" fontId="6" fillId="24" borderId="16" xfId="0" applyNumberFormat="1" applyFont="1" applyFill="1" applyBorder="1" applyAlignment="1" applyProtection="1">
      <alignment/>
      <protection/>
    </xf>
    <xf numFmtId="0" fontId="6" fillId="24" borderId="12" xfId="63" applyNumberFormat="1" applyFont="1" applyFill="1" applyBorder="1" applyAlignment="1" applyProtection="1">
      <alignment/>
      <protection/>
    </xf>
    <xf numFmtId="0" fontId="6" fillId="24" borderId="0" xfId="0" applyNumberFormat="1" applyFont="1" applyFill="1" applyBorder="1" applyAlignment="1" applyProtection="1">
      <alignment/>
      <protection/>
    </xf>
    <xf numFmtId="0" fontId="6" fillId="24" borderId="13" xfId="0" applyNumberFormat="1" applyFont="1" applyFill="1" applyBorder="1" applyAlignment="1" applyProtection="1">
      <alignment/>
      <protection/>
    </xf>
    <xf numFmtId="0" fontId="7" fillId="24" borderId="0" xfId="63" applyNumberFormat="1" applyFont="1" applyFill="1" applyBorder="1" applyAlignment="1" applyProtection="1">
      <alignment/>
      <protection/>
    </xf>
    <xf numFmtId="0" fontId="6" fillId="24" borderId="0" xfId="63" applyNumberFormat="1" applyFont="1" applyFill="1" applyBorder="1" applyAlignment="1" applyProtection="1">
      <alignment/>
      <protection/>
    </xf>
    <xf numFmtId="0" fontId="6" fillId="24" borderId="12" xfId="63" applyNumberFormat="1" applyFont="1" applyFill="1" applyBorder="1" applyAlignment="1" applyProtection="1">
      <alignment horizontal="left"/>
      <protection/>
    </xf>
    <xf numFmtId="0" fontId="6" fillId="23" borderId="12" xfId="63" applyNumberFormat="1" applyFont="1" applyFill="1" applyBorder="1" applyAlignment="1" applyProtection="1">
      <alignment/>
      <protection/>
    </xf>
    <xf numFmtId="172" fontId="11" fillId="23" borderId="0" xfId="63" applyNumberFormat="1" applyFont="1" applyFill="1" applyBorder="1" applyAlignment="1" applyProtection="1">
      <alignment/>
      <protection hidden="1"/>
    </xf>
    <xf numFmtId="0" fontId="6" fillId="23" borderId="0" xfId="63" applyNumberFormat="1" applyFont="1" applyFill="1" applyBorder="1" applyAlignment="1" applyProtection="1">
      <alignment/>
      <protection/>
    </xf>
    <xf numFmtId="172" fontId="6" fillId="23" borderId="0" xfId="63" applyNumberFormat="1" applyFont="1" applyFill="1" applyBorder="1" applyAlignment="1" applyProtection="1">
      <alignment/>
      <protection/>
    </xf>
    <xf numFmtId="172" fontId="11" fillId="23" borderId="0" xfId="63" applyNumberFormat="1" applyFont="1" applyFill="1" applyBorder="1" applyAlignment="1" applyProtection="1">
      <alignment/>
      <protection/>
    </xf>
    <xf numFmtId="0" fontId="15" fillId="23" borderId="0" xfId="63" applyNumberFormat="1" applyFont="1" applyFill="1" applyBorder="1" applyAlignment="1" applyProtection="1">
      <alignment/>
      <protection/>
    </xf>
    <xf numFmtId="172" fontId="15" fillId="23" borderId="0" xfId="63" applyNumberFormat="1" applyFont="1" applyFill="1" applyBorder="1" applyAlignment="1" applyProtection="1">
      <alignment/>
      <protection/>
    </xf>
    <xf numFmtId="185" fontId="6" fillId="23" borderId="0" xfId="63" applyNumberFormat="1" applyFont="1" applyFill="1" applyBorder="1" applyAlignment="1" applyProtection="1">
      <alignment/>
      <protection/>
    </xf>
    <xf numFmtId="189" fontId="8" fillId="0" borderId="0" xfId="0" applyNumberFormat="1" applyFont="1" applyAlignment="1">
      <alignment horizontal="center" vertical="center"/>
    </xf>
    <xf numFmtId="188" fontId="8" fillId="0" borderId="0" xfId="0" applyNumberFormat="1" applyFont="1" applyAlignment="1">
      <alignment horizontal="center" vertical="center"/>
    </xf>
    <xf numFmtId="189" fontId="8" fillId="0" borderId="0" xfId="0" applyNumberFormat="1" applyFont="1" applyAlignment="1">
      <alignment horizontal="center"/>
    </xf>
    <xf numFmtId="188" fontId="8" fillId="0" borderId="0" xfId="0" applyNumberFormat="1" applyFont="1" applyAlignment="1">
      <alignment horizontal="center"/>
    </xf>
    <xf numFmtId="2" fontId="8" fillId="0" borderId="0" xfId="0" applyNumberFormat="1" applyFont="1" applyAlignment="1">
      <alignment horizontal="center"/>
    </xf>
    <xf numFmtId="175" fontId="10" fillId="0" borderId="20" xfId="63" applyNumberFormat="1" applyFont="1" applyBorder="1" applyAlignment="1" applyProtection="1">
      <alignment horizontal="center"/>
      <protection/>
    </xf>
    <xf numFmtId="191" fontId="6" fillId="0" borderId="12" xfId="0" applyNumberFormat="1" applyFont="1" applyBorder="1" applyAlignment="1" applyProtection="1">
      <alignment horizontal="center" vertical="center" wrapText="1"/>
      <protection/>
    </xf>
    <xf numFmtId="0" fontId="0" fillId="0" borderId="0" xfId="0" applyAlignment="1" applyProtection="1">
      <alignment/>
      <protection/>
    </xf>
    <xf numFmtId="191" fontId="6" fillId="0" borderId="13" xfId="0" applyNumberFormat="1" applyFont="1" applyBorder="1" applyAlignment="1" applyProtection="1">
      <alignment horizontal="center" vertical="center" wrapText="1"/>
      <protection/>
    </xf>
    <xf numFmtId="191" fontId="6" fillId="0" borderId="14" xfId="0" applyNumberFormat="1" applyFont="1" applyBorder="1" applyAlignment="1" applyProtection="1">
      <alignment horizontal="center" vertical="center" wrapText="1"/>
      <protection/>
    </xf>
    <xf numFmtId="172" fontId="11" fillId="0" borderId="23" xfId="63" applyNumberFormat="1" applyFont="1" applyFill="1" applyBorder="1" applyAlignment="1" applyProtection="1">
      <alignment/>
      <protection locked="0"/>
    </xf>
    <xf numFmtId="0" fontId="6" fillId="0" borderId="23" xfId="63" applyNumberFormat="1" applyFont="1" applyFill="1" applyBorder="1" applyAlignment="1" applyProtection="1">
      <alignment horizontal="center"/>
      <protection locked="0"/>
    </xf>
    <xf numFmtId="0" fontId="11" fillId="0" borderId="23" xfId="0" applyNumberFormat="1" applyFont="1" applyFill="1" applyBorder="1" applyAlignment="1" applyProtection="1">
      <alignment horizontal="center"/>
      <protection locked="0"/>
    </xf>
    <xf numFmtId="176" fontId="11" fillId="0" borderId="23" xfId="0" applyNumberFormat="1" applyFont="1" applyFill="1" applyBorder="1" applyAlignment="1" applyProtection="1">
      <alignment/>
      <protection locked="0"/>
    </xf>
    <xf numFmtId="0" fontId="11" fillId="0" borderId="23" xfId="63" applyNumberFormat="1" applyFont="1" applyFill="1" applyBorder="1" applyAlignment="1" applyProtection="1">
      <alignment horizontal="center" shrinkToFit="1"/>
      <protection hidden="1" locked="0"/>
    </xf>
    <xf numFmtId="176" fontId="11" fillId="0" borderId="23" xfId="63" applyNumberFormat="1" applyFont="1" applyFill="1" applyBorder="1" applyAlignment="1" applyProtection="1">
      <alignment/>
      <protection locked="0"/>
    </xf>
    <xf numFmtId="0" fontId="11" fillId="0" borderId="23" xfId="0" applyNumberFormat="1" applyFont="1" applyFill="1" applyBorder="1" applyAlignment="1" applyProtection="1">
      <alignment/>
      <protection locked="0"/>
    </xf>
    <xf numFmtId="0" fontId="23" fillId="0" borderId="23" xfId="0" applyNumberFormat="1" applyFont="1" applyFill="1" applyBorder="1" applyAlignment="1" applyProtection="1">
      <alignment/>
      <protection locked="0"/>
    </xf>
    <xf numFmtId="192" fontId="8" fillId="0" borderId="0" xfId="0" applyNumberFormat="1" applyFont="1" applyAlignment="1">
      <alignment horizontal="center" vertical="center"/>
    </xf>
    <xf numFmtId="0" fontId="6" fillId="0" borderId="0" xfId="0" applyFont="1" applyBorder="1" applyAlignment="1">
      <alignment vertical="center"/>
    </xf>
    <xf numFmtId="191" fontId="6" fillId="0" borderId="24" xfId="0" applyNumberFormat="1" applyFont="1" applyBorder="1" applyAlignment="1" applyProtection="1">
      <alignment horizontal="center" vertical="center" wrapText="1"/>
      <protection/>
    </xf>
    <xf numFmtId="0" fontId="8" fillId="0" borderId="0" xfId="63" applyNumberFormat="1" applyFont="1" applyFill="1" applyAlignment="1" applyProtection="1">
      <alignment vertical="center" wrapText="1"/>
      <protection/>
    </xf>
    <xf numFmtId="0" fontId="16" fillId="0" borderId="0" xfId="0" applyNumberFormat="1" applyFont="1" applyFill="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horizontal="center"/>
    </xf>
    <xf numFmtId="0" fontId="8" fillId="0" borderId="0" xfId="0" applyNumberFormat="1" applyFont="1" applyAlignment="1" applyProtection="1">
      <alignment/>
      <protection/>
    </xf>
    <xf numFmtId="0" fontId="45" fillId="0" borderId="0" xfId="0" applyNumberFormat="1" applyFont="1" applyAlignment="1" applyProtection="1">
      <alignment/>
      <protection/>
    </xf>
    <xf numFmtId="0" fontId="6" fillId="23" borderId="16" xfId="0" applyNumberFormat="1" applyFont="1" applyFill="1" applyBorder="1" applyAlignment="1" applyProtection="1">
      <alignment/>
      <protection/>
    </xf>
    <xf numFmtId="0" fontId="6" fillId="23" borderId="0" xfId="0" applyNumberFormat="1" applyFont="1" applyFill="1" applyBorder="1" applyAlignment="1" applyProtection="1">
      <alignment/>
      <protection/>
    </xf>
    <xf numFmtId="0" fontId="8" fillId="23" borderId="15" xfId="0" applyNumberFormat="1" applyFont="1" applyFill="1" applyBorder="1" applyAlignment="1" applyProtection="1">
      <alignment/>
      <protection/>
    </xf>
    <xf numFmtId="0" fontId="15" fillId="23" borderId="0" xfId="0" applyNumberFormat="1" applyFont="1" applyFill="1" applyBorder="1" applyAlignment="1" applyProtection="1">
      <alignment/>
      <protection/>
    </xf>
    <xf numFmtId="0" fontId="22" fillId="23" borderId="0" xfId="0" applyNumberFormat="1" applyFont="1" applyFill="1" applyBorder="1" applyAlignment="1" applyProtection="1">
      <alignment/>
      <protection/>
    </xf>
    <xf numFmtId="0" fontId="8" fillId="23" borderId="0" xfId="0" applyNumberFormat="1" applyFont="1" applyFill="1" applyBorder="1" applyAlignment="1" applyProtection="1">
      <alignment/>
      <protection/>
    </xf>
    <xf numFmtId="0" fontId="10" fillId="0" borderId="0" xfId="0" applyNumberFormat="1" applyFont="1" applyAlignment="1" applyProtection="1">
      <alignment/>
      <protection/>
    </xf>
    <xf numFmtId="0" fontId="6" fillId="25" borderId="0" xfId="0" applyNumberFormat="1" applyFont="1" applyFill="1" applyAlignment="1" applyProtection="1">
      <alignment/>
      <protection/>
    </xf>
    <xf numFmtId="0" fontId="13" fillId="0" borderId="23" xfId="0" applyNumberFormat="1" applyFont="1" applyBorder="1" applyAlignment="1" applyProtection="1">
      <alignment horizontal="center" vertical="center" wrapText="1"/>
      <protection/>
    </xf>
    <xf numFmtId="0" fontId="16" fillId="0" borderId="12" xfId="0" applyNumberFormat="1" applyFont="1" applyBorder="1" applyAlignment="1" applyProtection="1">
      <alignment horizontal="center" vertical="center" wrapText="1"/>
      <protection/>
    </xf>
    <xf numFmtId="0" fontId="11" fillId="0" borderId="23" xfId="0" applyNumberFormat="1" applyFont="1" applyBorder="1" applyAlignment="1" applyProtection="1">
      <alignment horizontal="center"/>
      <protection/>
    </xf>
    <xf numFmtId="177" fontId="6" fillId="0" borderId="0" xfId="0" applyNumberFormat="1" applyFont="1" applyAlignment="1" applyProtection="1">
      <alignment/>
      <protection/>
    </xf>
    <xf numFmtId="0" fontId="6" fillId="25" borderId="23" xfId="0" applyNumberFormat="1" applyFont="1" applyFill="1" applyBorder="1" applyAlignment="1" applyProtection="1">
      <alignment/>
      <protection locked="0"/>
    </xf>
    <xf numFmtId="0" fontId="49" fillId="0" borderId="0" xfId="0" applyFont="1" applyAlignment="1">
      <alignment vertical="center"/>
    </xf>
    <xf numFmtId="188" fontId="49" fillId="0" borderId="0" xfId="0" applyNumberFormat="1"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189" fontId="49" fillId="0" borderId="0" xfId="0" applyNumberFormat="1" applyFont="1" applyAlignment="1">
      <alignment horizontal="center" vertical="center"/>
    </xf>
    <xf numFmtId="192" fontId="49" fillId="0" borderId="0" xfId="0" applyNumberFormat="1" applyFont="1" applyAlignment="1">
      <alignment horizontal="center" vertical="center"/>
    </xf>
    <xf numFmtId="0" fontId="12" fillId="24" borderId="10" xfId="63" applyNumberFormat="1" applyFont="1" applyFill="1" applyBorder="1" applyAlignment="1" applyProtection="1">
      <alignment/>
      <protection/>
    </xf>
    <xf numFmtId="0" fontId="6" fillId="24" borderId="11" xfId="63" applyNumberFormat="1" applyFont="1" applyFill="1" applyBorder="1" applyAlignment="1" applyProtection="1">
      <alignment/>
      <protection/>
    </xf>
    <xf numFmtId="0" fontId="6" fillId="24" borderId="21" xfId="0" applyNumberFormat="1" applyFont="1" applyFill="1" applyBorder="1" applyAlignment="1" applyProtection="1">
      <alignment/>
      <protection/>
    </xf>
    <xf numFmtId="0" fontId="6" fillId="24" borderId="24" xfId="0" applyNumberFormat="1" applyFont="1" applyFill="1" applyBorder="1" applyAlignment="1" applyProtection="1">
      <alignment/>
      <protection/>
    </xf>
    <xf numFmtId="0" fontId="48" fillId="23" borderId="10" xfId="63" applyNumberFormat="1" applyFont="1" applyFill="1" applyBorder="1" applyAlignment="1" applyProtection="1">
      <alignment/>
      <protection/>
    </xf>
    <xf numFmtId="0" fontId="6" fillId="24" borderId="18" xfId="63" applyNumberFormat="1" applyFont="1" applyFill="1" applyBorder="1" applyAlignment="1" applyProtection="1">
      <alignment/>
      <protection/>
    </xf>
    <xf numFmtId="0" fontId="6" fillId="24" borderId="18" xfId="0" applyNumberFormat="1" applyFont="1" applyFill="1" applyBorder="1" applyAlignment="1" applyProtection="1">
      <alignment/>
      <protection/>
    </xf>
    <xf numFmtId="172" fontId="6" fillId="24" borderId="0" xfId="63" applyNumberFormat="1" applyFont="1" applyFill="1" applyBorder="1" applyAlignment="1" applyProtection="1">
      <alignment/>
      <protection/>
    </xf>
    <xf numFmtId="0" fontId="6" fillId="24" borderId="14" xfId="0" applyNumberFormat="1" applyFont="1" applyFill="1" applyBorder="1" applyAlignment="1" applyProtection="1">
      <alignment/>
      <protection/>
    </xf>
    <xf numFmtId="0" fontId="15" fillId="24" borderId="15" xfId="0" applyNumberFormat="1" applyFont="1" applyFill="1" applyBorder="1" applyAlignment="1" applyProtection="1">
      <alignment/>
      <protection/>
    </xf>
    <xf numFmtId="0" fontId="6" fillId="24" borderId="15" xfId="0" applyNumberFormat="1" applyFont="1" applyFill="1" applyBorder="1" applyAlignment="1" applyProtection="1">
      <alignment/>
      <protection/>
    </xf>
    <xf numFmtId="0" fontId="11" fillId="24" borderId="0" xfId="63" applyNumberFormat="1" applyFont="1" applyFill="1" applyBorder="1" applyAlignment="1" applyProtection="1">
      <alignment/>
      <protection/>
    </xf>
    <xf numFmtId="0" fontId="6" fillId="23" borderId="17" xfId="0" applyNumberFormat="1" applyFont="1" applyFill="1" applyBorder="1" applyAlignment="1" applyProtection="1">
      <alignment/>
      <protection/>
    </xf>
    <xf numFmtId="0" fontId="6" fillId="23" borderId="13" xfId="0" applyNumberFormat="1" applyFont="1" applyFill="1" applyBorder="1" applyAlignment="1" applyProtection="1">
      <alignment/>
      <protection/>
    </xf>
    <xf numFmtId="0" fontId="11" fillId="23" borderId="13" xfId="0" applyNumberFormat="1" applyFont="1" applyFill="1" applyBorder="1" applyAlignment="1" applyProtection="1">
      <alignment/>
      <protection/>
    </xf>
    <xf numFmtId="0" fontId="6" fillId="23" borderId="24" xfId="0" applyNumberFormat="1" applyFont="1" applyFill="1" applyBorder="1" applyAlignment="1" applyProtection="1">
      <alignment/>
      <protection/>
    </xf>
    <xf numFmtId="0" fontId="6" fillId="23" borderId="21" xfId="63" applyNumberFormat="1" applyFont="1" applyFill="1" applyBorder="1" applyAlignment="1" applyProtection="1">
      <alignment/>
      <protection/>
    </xf>
    <xf numFmtId="0" fontId="6" fillId="23" borderId="14" xfId="63" applyNumberFormat="1" applyFont="1" applyFill="1" applyBorder="1" applyAlignment="1" applyProtection="1">
      <alignment/>
      <protection/>
    </xf>
    <xf numFmtId="0" fontId="8" fillId="23" borderId="12" xfId="0" applyNumberFormat="1" applyFont="1" applyFill="1" applyBorder="1" applyAlignment="1" applyProtection="1">
      <alignment/>
      <protection/>
    </xf>
    <xf numFmtId="0" fontId="6" fillId="23" borderId="13" xfId="63" applyNumberFormat="1" applyFont="1" applyFill="1" applyBorder="1" applyAlignment="1" applyProtection="1">
      <alignment vertical="center"/>
      <protection/>
    </xf>
    <xf numFmtId="0" fontId="15" fillId="23" borderId="21" xfId="63" applyNumberFormat="1" applyFont="1" applyFill="1" applyBorder="1" applyAlignment="1" applyProtection="1">
      <alignment/>
      <protection/>
    </xf>
    <xf numFmtId="0" fontId="0" fillId="0" borderId="0" xfId="0" applyFill="1" applyAlignment="1" applyProtection="1">
      <alignment/>
      <protection/>
    </xf>
    <xf numFmtId="0" fontId="6" fillId="23" borderId="11" xfId="63" applyNumberFormat="1" applyFont="1" applyFill="1" applyBorder="1" applyAlignment="1" applyProtection="1">
      <alignment/>
      <protection/>
    </xf>
    <xf numFmtId="0" fontId="6" fillId="23" borderId="15" xfId="63" applyNumberFormat="1" applyFont="1" applyFill="1" applyBorder="1" applyAlignment="1" applyProtection="1">
      <alignment/>
      <protection/>
    </xf>
    <xf numFmtId="0" fontId="15" fillId="23" borderId="15" xfId="63" applyNumberFormat="1" applyFont="1" applyFill="1" applyBorder="1" applyAlignment="1" applyProtection="1">
      <alignment/>
      <protection/>
    </xf>
    <xf numFmtId="0" fontId="11" fillId="0" borderId="0" xfId="0" applyNumberFormat="1" applyFont="1" applyAlignment="1" applyProtection="1">
      <alignment/>
      <protection/>
    </xf>
    <xf numFmtId="0" fontId="46" fillId="0" borderId="0" xfId="0" applyFont="1" applyFill="1" applyAlignment="1" applyProtection="1">
      <alignment/>
      <protection/>
    </xf>
    <xf numFmtId="0" fontId="6" fillId="0" borderId="0" xfId="0" applyFont="1" applyFill="1" applyAlignment="1">
      <alignment/>
    </xf>
    <xf numFmtId="0" fontId="14" fillId="0" borderId="0" xfId="0" applyFont="1" applyBorder="1" applyAlignment="1">
      <alignment horizontal="center" vertical="center" wrapText="1"/>
    </xf>
    <xf numFmtId="0" fontId="51" fillId="0" borderId="0" xfId="0" applyFont="1" applyAlignment="1">
      <alignment horizontal="center"/>
    </xf>
    <xf numFmtId="0" fontId="14" fillId="0" borderId="0" xfId="0" applyFont="1" applyAlignment="1">
      <alignment/>
    </xf>
    <xf numFmtId="193" fontId="11" fillId="0" borderId="23" xfId="63" applyNumberFormat="1" applyFont="1" applyBorder="1" applyAlignment="1" applyProtection="1">
      <alignment horizontal="center"/>
      <protection/>
    </xf>
    <xf numFmtId="180" fontId="14" fillId="0" borderId="0" xfId="63" applyNumberFormat="1" applyFont="1" applyBorder="1" applyAlignment="1" applyProtection="1">
      <alignment horizontal="center"/>
      <protection/>
    </xf>
    <xf numFmtId="179" fontId="14" fillId="0" borderId="0" xfId="63" applyNumberFormat="1" applyFont="1" applyBorder="1" applyAlignment="1" applyProtection="1">
      <alignment horizontal="center"/>
      <protection/>
    </xf>
    <xf numFmtId="0" fontId="51" fillId="0" borderId="0" xfId="0" applyFont="1" applyAlignment="1">
      <alignment/>
    </xf>
    <xf numFmtId="0" fontId="14" fillId="0" borderId="0" xfId="0" applyFont="1" applyBorder="1" applyAlignment="1">
      <alignment/>
    </xf>
    <xf numFmtId="191" fontId="14" fillId="0" borderId="0" xfId="0" applyNumberFormat="1" applyFont="1" applyBorder="1" applyAlignment="1" applyProtection="1">
      <alignment horizontal="center" vertical="center" wrapText="1"/>
      <protection/>
    </xf>
    <xf numFmtId="175" fontId="51" fillId="0" borderId="0" xfId="63" applyNumberFormat="1" applyFont="1" applyBorder="1" applyAlignment="1" applyProtection="1">
      <alignment horizontal="center"/>
      <protection/>
    </xf>
    <xf numFmtId="180" fontId="51" fillId="0" borderId="0" xfId="63" applyNumberFormat="1" applyFont="1" applyBorder="1" applyAlignment="1" applyProtection="1">
      <alignment horizontal="center"/>
      <protection/>
    </xf>
    <xf numFmtId="175" fontId="51" fillId="0" borderId="0" xfId="63" applyNumberFormat="1" applyFont="1" applyBorder="1" applyAlignment="1" applyProtection="1">
      <alignment horizontal="right"/>
      <protection/>
    </xf>
    <xf numFmtId="194" fontId="11" fillId="0" borderId="23" xfId="0" applyNumberFormat="1" applyFont="1" applyFill="1" applyBorder="1" applyAlignment="1" applyProtection="1">
      <alignment/>
      <protection locked="0"/>
    </xf>
    <xf numFmtId="0" fontId="7" fillId="0" borderId="0" xfId="0" applyNumberFormat="1" applyFont="1" applyAlignment="1" applyProtection="1">
      <alignment/>
      <protection/>
    </xf>
    <xf numFmtId="2" fontId="11" fillId="0" borderId="23" xfId="0" applyNumberFormat="1" applyFont="1" applyFill="1" applyBorder="1" applyAlignment="1" applyProtection="1">
      <alignment horizontal="center"/>
      <protection locked="0"/>
    </xf>
    <xf numFmtId="181" fontId="8" fillId="0" borderId="0" xfId="0" applyNumberFormat="1" applyFont="1" applyBorder="1" applyAlignment="1">
      <alignment/>
    </xf>
    <xf numFmtId="191" fontId="6" fillId="0" borderId="0" xfId="63" applyNumberFormat="1" applyFont="1" applyBorder="1" applyAlignment="1" applyProtection="1">
      <alignment horizontal="center"/>
      <protection/>
    </xf>
    <xf numFmtId="191" fontId="6" fillId="0" borderId="15" xfId="63" applyNumberFormat="1" applyFont="1" applyBorder="1" applyAlignment="1" applyProtection="1">
      <alignment horizontal="center"/>
      <protection/>
    </xf>
    <xf numFmtId="179" fontId="7" fillId="0" borderId="0" xfId="63" applyNumberFormat="1" applyFont="1" applyBorder="1" applyAlignment="1" applyProtection="1">
      <alignment horizontal="center"/>
      <protection/>
    </xf>
    <xf numFmtId="196" fontId="6" fillId="0" borderId="12" xfId="0" applyNumberFormat="1" applyFont="1" applyBorder="1" applyAlignment="1" applyProtection="1">
      <alignment horizontal="center" vertical="center" wrapText="1"/>
      <protection/>
    </xf>
    <xf numFmtId="0" fontId="7" fillId="0" borderId="0" xfId="0" applyFont="1" applyAlignment="1">
      <alignment/>
    </xf>
    <xf numFmtId="0" fontId="48" fillId="0" borderId="0" xfId="0" applyFont="1" applyAlignment="1">
      <alignment horizontal="center"/>
    </xf>
    <xf numFmtId="180" fontId="7" fillId="0" borderId="0" xfId="63" applyNumberFormat="1" applyFont="1" applyBorder="1" applyAlignment="1" applyProtection="1">
      <alignment horizontal="center"/>
      <protection/>
    </xf>
    <xf numFmtId="196" fontId="6" fillId="0" borderId="13" xfId="0" applyNumberFormat="1" applyFont="1" applyBorder="1" applyAlignment="1" applyProtection="1">
      <alignment horizontal="center" vertical="center" wrapText="1"/>
      <protection/>
    </xf>
    <xf numFmtId="197" fontId="6" fillId="0" borderId="13" xfId="63" applyNumberFormat="1" applyFont="1" applyBorder="1" applyAlignment="1" applyProtection="1">
      <alignment horizontal="center"/>
      <protection/>
    </xf>
    <xf numFmtId="198" fontId="11" fillId="0" borderId="23" xfId="63" applyNumberFormat="1" applyFont="1" applyBorder="1" applyAlignment="1" applyProtection="1">
      <alignment horizontal="center"/>
      <protection/>
    </xf>
    <xf numFmtId="0" fontId="6" fillId="23" borderId="12" xfId="63" applyNumberFormat="1" applyFont="1" applyFill="1" applyBorder="1" applyAlignment="1" applyProtection="1">
      <alignment vertical="center" wrapText="1"/>
      <protection/>
    </xf>
    <xf numFmtId="172" fontId="11" fillId="0" borderId="23" xfId="63" applyNumberFormat="1" applyFont="1" applyFill="1" applyBorder="1" applyAlignment="1" applyProtection="1">
      <alignment vertical="center"/>
      <protection locked="0"/>
    </xf>
    <xf numFmtId="188" fontId="6" fillId="0" borderId="0" xfId="63" applyNumberFormat="1" applyFont="1" applyBorder="1" applyAlignment="1" applyProtection="1">
      <alignment horizontal="center"/>
      <protection/>
    </xf>
    <xf numFmtId="188" fontId="6" fillId="0" borderId="15" xfId="63" applyNumberFormat="1" applyFont="1" applyBorder="1" applyAlignment="1" applyProtection="1">
      <alignment horizontal="center"/>
      <protection/>
    </xf>
    <xf numFmtId="199" fontId="8" fillId="0" borderId="0" xfId="0" applyNumberFormat="1" applyFont="1" applyAlignment="1">
      <alignment horizontal="center"/>
    </xf>
    <xf numFmtId="196" fontId="6" fillId="0" borderId="13" xfId="63" applyNumberFormat="1" applyFont="1" applyBorder="1" applyAlignment="1" applyProtection="1">
      <alignment horizontal="center"/>
      <protection/>
    </xf>
    <xf numFmtId="191" fontId="6" fillId="0" borderId="24" xfId="63" applyNumberFormat="1" applyFont="1" applyBorder="1" applyAlignment="1" applyProtection="1">
      <alignment horizontal="center"/>
      <protection/>
    </xf>
    <xf numFmtId="191" fontId="8" fillId="0" borderId="0" xfId="0" applyNumberFormat="1" applyFont="1" applyAlignment="1">
      <alignment horizontal="center"/>
    </xf>
    <xf numFmtId="191" fontId="8" fillId="0" borderId="0" xfId="0" applyNumberFormat="1" applyFont="1" applyAlignment="1">
      <alignment horizontal="center" vertical="center"/>
    </xf>
    <xf numFmtId="0" fontId="7" fillId="0" borderId="0" xfId="0" applyNumberFormat="1" applyFont="1" applyBorder="1" applyAlignment="1" applyProtection="1">
      <alignment/>
      <protection/>
    </xf>
    <xf numFmtId="191" fontId="7" fillId="0" borderId="0" xfId="0" applyNumberFormat="1" applyFont="1" applyBorder="1" applyAlignment="1" applyProtection="1">
      <alignment horizontal="center"/>
      <protection/>
    </xf>
    <xf numFmtId="193" fontId="11" fillId="0" borderId="0" xfId="63" applyNumberFormat="1" applyFont="1" applyBorder="1" applyAlignment="1" applyProtection="1">
      <alignment horizontal="center"/>
      <protection/>
    </xf>
    <xf numFmtId="0" fontId="8" fillId="0" borderId="0" xfId="0" applyNumberFormat="1" applyFont="1" applyBorder="1" applyAlignment="1" applyProtection="1">
      <alignment/>
      <protection/>
    </xf>
    <xf numFmtId="196" fontId="6" fillId="0" borderId="0" xfId="63" applyNumberFormat="1" applyFont="1" applyBorder="1" applyAlignment="1" applyProtection="1">
      <alignment horizontal="center"/>
      <protection/>
    </xf>
    <xf numFmtId="197" fontId="6" fillId="0" borderId="0" xfId="63" applyNumberFormat="1" applyFont="1" applyBorder="1" applyAlignment="1" applyProtection="1">
      <alignment horizontal="center"/>
      <protection/>
    </xf>
    <xf numFmtId="0" fontId="0" fillId="0" borderId="0" xfId="0" applyFont="1" applyAlignment="1">
      <alignment horizontal="center" wrapText="1"/>
    </xf>
    <xf numFmtId="0" fontId="52" fillId="0" borderId="0" xfId="0" applyFont="1" applyAlignment="1">
      <alignment wrapText="1"/>
    </xf>
    <xf numFmtId="0" fontId="0" fillId="0" borderId="0" xfId="0" applyFont="1" applyAlignment="1">
      <alignment wrapText="1"/>
    </xf>
    <xf numFmtId="0" fontId="0" fillId="4" borderId="0" xfId="0" applyFont="1" applyFill="1" applyAlignment="1">
      <alignment horizontal="center"/>
    </xf>
    <xf numFmtId="0" fontId="0" fillId="4" borderId="0" xfId="65" applyFont="1" applyFill="1" applyAlignment="1">
      <alignment horizontal="center"/>
      <protection/>
    </xf>
    <xf numFmtId="0" fontId="0" fillId="4"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65" applyFont="1" applyFill="1" applyAlignment="1">
      <alignment horizontal="center"/>
      <protection/>
    </xf>
    <xf numFmtId="0" fontId="0" fillId="0" borderId="0" xfId="0" applyFont="1" applyAlignment="1">
      <alignment/>
    </xf>
    <xf numFmtId="0" fontId="0" fillId="0" borderId="0" xfId="0" applyFont="1" applyAlignment="1">
      <alignment horizontal="center"/>
    </xf>
    <xf numFmtId="0" fontId="0" fillId="4" borderId="0" xfId="0" applyFont="1" applyFill="1" applyAlignment="1">
      <alignment horizontal="center"/>
    </xf>
    <xf numFmtId="0" fontId="0" fillId="4" borderId="0" xfId="65" applyFont="1" applyFill="1" applyAlignment="1">
      <alignment horizontal="center"/>
      <protection/>
    </xf>
    <xf numFmtId="0" fontId="0" fillId="4" borderId="0" xfId="0" applyFont="1" applyFill="1" applyAlignment="1">
      <alignment/>
    </xf>
    <xf numFmtId="0" fontId="0" fillId="0" borderId="0" xfId="0" applyFont="1" applyFill="1" applyAlignment="1">
      <alignment horizontal="center"/>
    </xf>
    <xf numFmtId="0" fontId="0" fillId="0" borderId="0" xfId="65" applyFont="1" applyFill="1" applyAlignment="1">
      <alignment horizontal="center"/>
      <protection/>
    </xf>
    <xf numFmtId="0" fontId="0" fillId="0" borderId="0" xfId="0" applyFont="1" applyFill="1" applyAlignment="1">
      <alignment/>
    </xf>
    <xf numFmtId="1" fontId="0" fillId="4" borderId="0" xfId="65" applyNumberFormat="1" applyFont="1" applyFill="1" applyAlignment="1">
      <alignment horizontal="center"/>
      <protection/>
    </xf>
    <xf numFmtId="2" fontId="0" fillId="0" borderId="0" xfId="0" applyNumberFormat="1" applyFont="1" applyFill="1" applyAlignment="1">
      <alignment/>
    </xf>
    <xf numFmtId="0" fontId="55" fillId="0" borderId="0" xfId="0" applyFont="1" applyFill="1" applyAlignment="1">
      <alignment horizontal="center"/>
    </xf>
    <xf numFmtId="0" fontId="0" fillId="0" borderId="0" xfId="0" applyFont="1" applyAlignment="1">
      <alignment/>
    </xf>
    <xf numFmtId="0" fontId="0" fillId="22" borderId="0" xfId="0" applyFont="1" applyFill="1" applyAlignment="1">
      <alignment horizontal="center"/>
    </xf>
    <xf numFmtId="0" fontId="0" fillId="7" borderId="0" xfId="0" applyFont="1" applyFill="1" applyAlignment="1">
      <alignment horizontal="center"/>
    </xf>
    <xf numFmtId="0" fontId="0" fillId="24" borderId="0" xfId="0" applyFont="1" applyFill="1" applyAlignment="1">
      <alignment horizontal="center"/>
    </xf>
    <xf numFmtId="0" fontId="0" fillId="0" borderId="0" xfId="0" applyFont="1" applyAlignment="1">
      <alignment horizontal="center"/>
    </xf>
    <xf numFmtId="0" fontId="56" fillId="0" borderId="0" xfId="0" applyFont="1" applyFill="1" applyAlignment="1">
      <alignment horizontal="center"/>
    </xf>
    <xf numFmtId="0" fontId="0" fillId="0" borderId="0" xfId="0" applyFont="1" applyAlignment="1">
      <alignment/>
    </xf>
    <xf numFmtId="0" fontId="0" fillId="22" borderId="0" xfId="0" applyFont="1" applyFill="1" applyAlignment="1">
      <alignment horizontal="center"/>
    </xf>
    <xf numFmtId="0" fontId="0" fillId="7" borderId="0" xfId="0" applyFont="1" applyFill="1" applyAlignment="1">
      <alignment horizontal="center"/>
    </xf>
    <xf numFmtId="0" fontId="0" fillId="24" borderId="0" xfId="0" applyFont="1" applyFill="1" applyAlignment="1">
      <alignment horizontal="center"/>
    </xf>
    <xf numFmtId="0" fontId="0" fillId="0" borderId="0" xfId="0" applyFont="1" applyAlignment="1">
      <alignment horizontal="center"/>
    </xf>
    <xf numFmtId="0" fontId="0" fillId="0" borderId="0" xfId="0" applyFont="1" applyAlignment="1">
      <alignment wrapText="1"/>
    </xf>
    <xf numFmtId="0" fontId="0" fillId="4" borderId="0" xfId="64" applyFont="1" applyFill="1" applyAlignment="1">
      <alignment horizontal="center"/>
      <protection/>
    </xf>
    <xf numFmtId="0" fontId="0" fillId="0" borderId="0" xfId="64" applyFont="1" applyFill="1" applyAlignment="1">
      <alignment horizontal="center"/>
      <protection/>
    </xf>
    <xf numFmtId="0" fontId="0" fillId="4" borderId="0" xfId="64" applyFont="1" applyFill="1" applyAlignment="1">
      <alignment horizontal="center"/>
      <protection/>
    </xf>
    <xf numFmtId="0" fontId="0" fillId="0" borderId="0" xfId="64" applyFont="1" applyFill="1" applyAlignment="1">
      <alignment horizontal="center"/>
      <protection/>
    </xf>
    <xf numFmtId="0" fontId="0" fillId="4" borderId="0" xfId="64" applyFont="1" applyFill="1">
      <alignment/>
      <protection/>
    </xf>
    <xf numFmtId="0" fontId="55" fillId="0" borderId="0" xfId="0" applyFont="1" applyFill="1" applyAlignment="1">
      <alignment/>
    </xf>
    <xf numFmtId="0" fontId="0" fillId="22" borderId="0" xfId="0" applyFont="1" applyFill="1" applyAlignment="1">
      <alignment/>
    </xf>
    <xf numFmtId="0" fontId="0" fillId="7" borderId="0" xfId="0" applyFont="1" applyFill="1" applyAlignment="1">
      <alignment/>
    </xf>
    <xf numFmtId="0" fontId="55" fillId="0" borderId="0" xfId="0" applyFont="1" applyAlignment="1">
      <alignment/>
    </xf>
    <xf numFmtId="0" fontId="53" fillId="0" borderId="0" xfId="0" applyFont="1" applyFill="1" applyAlignment="1">
      <alignment/>
    </xf>
    <xf numFmtId="0" fontId="0" fillId="22" borderId="0" xfId="0" applyFont="1" applyFill="1" applyAlignment="1">
      <alignment/>
    </xf>
    <xf numFmtId="0" fontId="0" fillId="7" borderId="0" xfId="0" applyFont="1" applyFill="1" applyAlignment="1">
      <alignment/>
    </xf>
    <xf numFmtId="0" fontId="0" fillId="24" borderId="0" xfId="0" applyFont="1" applyFill="1" applyAlignment="1">
      <alignment horizontal="center"/>
    </xf>
    <xf numFmtId="0" fontId="0" fillId="0" borderId="0" xfId="0" applyFont="1" applyFill="1" applyAlignment="1">
      <alignment horizontal="center"/>
    </xf>
    <xf numFmtId="0" fontId="53" fillId="0" borderId="0" xfId="0" applyFont="1" applyAlignment="1">
      <alignment/>
    </xf>
    <xf numFmtId="0" fontId="54" fillId="0" borderId="25" xfId="65" applyFont="1" applyFill="1" applyBorder="1" applyAlignment="1">
      <alignment horizontal="center" vertical="top" wrapText="1"/>
      <protection/>
    </xf>
    <xf numFmtId="0" fontId="54" fillId="0" borderId="25" xfId="64" applyFont="1" applyFill="1" applyBorder="1" applyAlignment="1">
      <alignment horizontal="center" vertical="top" wrapText="1"/>
      <protection/>
    </xf>
    <xf numFmtId="1" fontId="0" fillId="0" borderId="0" xfId="0" applyNumberFormat="1" applyFont="1" applyAlignment="1">
      <alignment horizontal="center"/>
    </xf>
    <xf numFmtId="1" fontId="0" fillId="0" borderId="0" xfId="0" applyNumberFormat="1" applyFont="1" applyAlignment="1">
      <alignment horizontal="center"/>
    </xf>
    <xf numFmtId="1" fontId="0" fillId="24" borderId="0" xfId="0" applyNumberFormat="1" applyFont="1" applyFill="1" applyAlignment="1">
      <alignment horizontal="center"/>
    </xf>
    <xf numFmtId="1" fontId="0" fillId="0" borderId="0" xfId="0" applyNumberFormat="1" applyFont="1" applyFill="1" applyAlignment="1">
      <alignment horizontal="center"/>
    </xf>
    <xf numFmtId="1" fontId="0" fillId="24" borderId="0" xfId="0" applyNumberFormat="1" applyFont="1" applyFill="1" applyAlignment="1">
      <alignment horizontal="center"/>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185" fontId="6" fillId="0" borderId="18" xfId="0" applyNumberFormat="1" applyFont="1" applyBorder="1" applyAlignment="1" applyProtection="1">
      <alignment horizontal="center" vertical="center" wrapText="1"/>
      <protection/>
    </xf>
    <xf numFmtId="1" fontId="6" fillId="0" borderId="18" xfId="0" applyNumberFormat="1" applyFont="1" applyBorder="1" applyAlignment="1" applyProtection="1">
      <alignment horizontal="center" vertical="center" wrapText="1"/>
      <protection/>
    </xf>
    <xf numFmtId="1" fontId="6" fillId="0" borderId="19" xfId="0" applyNumberFormat="1" applyFont="1" applyBorder="1" applyAlignment="1" applyProtection="1">
      <alignment horizontal="center" vertical="center" wrapText="1"/>
      <protection/>
    </xf>
    <xf numFmtId="0" fontId="6" fillId="0" borderId="23" xfId="0" applyFont="1" applyBorder="1" applyAlignment="1">
      <alignment horizontal="center"/>
    </xf>
    <xf numFmtId="183" fontId="6" fillId="0" borderId="18" xfId="63" applyNumberFormat="1" applyFont="1" applyBorder="1" applyAlignment="1" applyProtection="1">
      <alignment/>
      <protection/>
    </xf>
    <xf numFmtId="183" fontId="6" fillId="0" borderId="18" xfId="63" applyNumberFormat="1" applyFont="1" applyBorder="1" applyAlignment="1" applyProtection="1">
      <alignment vertical="center"/>
      <protection/>
    </xf>
    <xf numFmtId="176" fontId="6" fillId="0" borderId="18" xfId="63" applyNumberFormat="1" applyFont="1" applyBorder="1" applyAlignment="1" applyProtection="1">
      <alignment/>
      <protection/>
    </xf>
    <xf numFmtId="176" fontId="6" fillId="0" borderId="19" xfId="63" applyNumberFormat="1" applyFont="1" applyBorder="1" applyAlignment="1" applyProtection="1">
      <alignment/>
      <protection/>
    </xf>
    <xf numFmtId="175" fontId="10" fillId="0" borderId="23" xfId="63" applyNumberFormat="1" applyFont="1" applyBorder="1" applyAlignment="1" applyProtection="1">
      <alignment horizontal="right"/>
      <protection/>
    </xf>
    <xf numFmtId="0" fontId="9" fillId="0" borderId="0" xfId="0" applyFont="1" applyFill="1" applyAlignment="1" applyProtection="1">
      <alignment vertical="top"/>
      <protection/>
    </xf>
    <xf numFmtId="201" fontId="14" fillId="0" borderId="0" xfId="63" applyNumberFormat="1" applyFont="1" applyBorder="1" applyAlignment="1" applyProtection="1">
      <alignment horizontal="center"/>
      <protection/>
    </xf>
    <xf numFmtId="200" fontId="14" fillId="0" borderId="0" xfId="63" applyNumberFormat="1" applyFont="1" applyBorder="1" applyAlignment="1" applyProtection="1">
      <alignment horizontal="center"/>
      <protection/>
    </xf>
    <xf numFmtId="197" fontId="6" fillId="0" borderId="13" xfId="0" applyNumberFormat="1" applyFont="1" applyBorder="1" applyAlignment="1" applyProtection="1">
      <alignment horizontal="center" vertical="center" wrapText="1"/>
      <protection/>
    </xf>
    <xf numFmtId="0" fontId="14" fillId="0" borderId="0" xfId="0" applyNumberFormat="1" applyFont="1" applyAlignment="1" applyProtection="1">
      <alignment/>
      <protection/>
    </xf>
    <xf numFmtId="0" fontId="14" fillId="0" borderId="12" xfId="0" applyFont="1" applyBorder="1" applyAlignment="1">
      <alignment/>
    </xf>
    <xf numFmtId="0" fontId="18" fillId="0" borderId="0" xfId="0" applyFont="1" applyAlignment="1">
      <alignment/>
    </xf>
    <xf numFmtId="0" fontId="18" fillId="0" borderId="10" xfId="63" applyNumberFormat="1" applyFont="1" applyBorder="1" applyAlignment="1" applyProtection="1">
      <alignment/>
      <protection/>
    </xf>
    <xf numFmtId="181" fontId="18" fillId="0" borderId="11" xfId="63" applyNumberFormat="1" applyFont="1" applyBorder="1" applyAlignment="1" applyProtection="1">
      <alignment/>
      <protection/>
    </xf>
    <xf numFmtId="0" fontId="18" fillId="0" borderId="11" xfId="0" applyNumberFormat="1" applyFont="1" applyBorder="1" applyAlignment="1" applyProtection="1">
      <alignment/>
      <protection/>
    </xf>
    <xf numFmtId="0" fontId="18" fillId="0" borderId="11" xfId="0" applyFont="1" applyBorder="1" applyAlignment="1">
      <alignment/>
    </xf>
    <xf numFmtId="0" fontId="18" fillId="0" borderId="12" xfId="63" applyNumberFormat="1" applyFont="1" applyBorder="1" applyAlignment="1" applyProtection="1">
      <alignment/>
      <protection/>
    </xf>
    <xf numFmtId="0" fontId="18" fillId="0" borderId="0" xfId="63" applyNumberFormat="1" applyFont="1" applyBorder="1" applyAlignment="1" applyProtection="1">
      <alignment horizontal="center"/>
      <protection/>
    </xf>
    <xf numFmtId="0" fontId="18" fillId="0" borderId="0" xfId="63" applyNumberFormat="1" applyFont="1" applyBorder="1" applyAlignment="1" applyProtection="1">
      <alignment/>
      <protection/>
    </xf>
    <xf numFmtId="0" fontId="18" fillId="0" borderId="0" xfId="63" applyNumberFormat="1" applyFont="1" applyBorder="1" applyAlignment="1" applyProtection="1">
      <alignment horizontal="right"/>
      <protection/>
    </xf>
    <xf numFmtId="176" fontId="18" fillId="0" borderId="0" xfId="63" applyNumberFormat="1" applyFont="1" applyBorder="1" applyAlignment="1" applyProtection="1">
      <alignment/>
      <protection locked="0"/>
    </xf>
    <xf numFmtId="0" fontId="18" fillId="0" borderId="0" xfId="0" applyNumberFormat="1" applyFont="1" applyBorder="1" applyAlignment="1" applyProtection="1">
      <alignment/>
      <protection/>
    </xf>
    <xf numFmtId="0" fontId="18" fillId="0" borderId="12" xfId="0" applyFont="1" applyBorder="1" applyAlignment="1">
      <alignment/>
    </xf>
    <xf numFmtId="172" fontId="18" fillId="0" borderId="0" xfId="63" applyNumberFormat="1" applyFont="1" applyBorder="1" applyAlignment="1" applyProtection="1">
      <alignment horizontal="center"/>
      <protection/>
    </xf>
    <xf numFmtId="173" fontId="18" fillId="0" borderId="0" xfId="63" applyNumberFormat="1" applyFont="1" applyBorder="1" applyAlignment="1" applyProtection="1">
      <alignment horizontal="center"/>
      <protection/>
    </xf>
    <xf numFmtId="0" fontId="18" fillId="0" borderId="0" xfId="63" applyNumberFormat="1" applyFont="1" applyFill="1" applyBorder="1" applyAlignment="1" applyProtection="1">
      <alignment/>
      <protection/>
    </xf>
    <xf numFmtId="173" fontId="18" fillId="0" borderId="0" xfId="63" applyNumberFormat="1" applyFont="1" applyBorder="1" applyAlignment="1" applyProtection="1">
      <alignment/>
      <protection/>
    </xf>
    <xf numFmtId="182" fontId="18" fillId="0" borderId="0" xfId="63" applyNumberFormat="1" applyFont="1" applyBorder="1" applyAlignment="1" applyProtection="1">
      <alignment horizontal="center"/>
      <protection/>
    </xf>
    <xf numFmtId="0" fontId="18" fillId="0" borderId="0" xfId="0" applyFont="1" applyBorder="1" applyAlignment="1">
      <alignment/>
    </xf>
    <xf numFmtId="0" fontId="18" fillId="0" borderId="14" xfId="63" applyNumberFormat="1" applyFont="1" applyBorder="1" applyAlignment="1" applyProtection="1">
      <alignment horizontal="center"/>
      <protection/>
    </xf>
    <xf numFmtId="182" fontId="18" fillId="0" borderId="15" xfId="63" applyNumberFormat="1" applyFont="1" applyBorder="1" applyAlignment="1" applyProtection="1">
      <alignment horizontal="center"/>
      <protection/>
    </xf>
    <xf numFmtId="0" fontId="18" fillId="0" borderId="15" xfId="63" applyNumberFormat="1" applyFont="1" applyBorder="1" applyAlignment="1" applyProtection="1">
      <alignment/>
      <protection/>
    </xf>
    <xf numFmtId="0" fontId="18" fillId="0" borderId="15" xfId="0" applyFont="1" applyBorder="1" applyAlignment="1">
      <alignment/>
    </xf>
    <xf numFmtId="172" fontId="18" fillId="0" borderId="0" xfId="63" applyNumberFormat="1" applyFont="1" applyBorder="1" applyAlignment="1" applyProtection="1">
      <alignment/>
      <protection/>
    </xf>
    <xf numFmtId="0" fontId="18" fillId="0" borderId="1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4" xfId="0" applyFont="1" applyBorder="1" applyAlignment="1">
      <alignment/>
    </xf>
    <xf numFmtId="181" fontId="17" fillId="0" borderId="0" xfId="0" applyNumberFormat="1" applyFont="1" applyBorder="1" applyAlignment="1">
      <alignment/>
    </xf>
    <xf numFmtId="0" fontId="18" fillId="0" borderId="13" xfId="0" applyFont="1" applyBorder="1" applyAlignment="1">
      <alignment/>
    </xf>
    <xf numFmtId="181" fontId="17" fillId="0" borderId="17" xfId="0" applyNumberFormat="1" applyFont="1" applyBorder="1" applyAlignment="1">
      <alignment/>
    </xf>
    <xf numFmtId="0" fontId="18" fillId="0" borderId="12" xfId="0" applyFont="1" applyBorder="1" applyAlignment="1">
      <alignment horizontal="center"/>
    </xf>
    <xf numFmtId="181" fontId="17" fillId="0" borderId="18" xfId="0" applyNumberFormat="1" applyFont="1" applyBorder="1" applyAlignment="1">
      <alignment/>
    </xf>
    <xf numFmtId="0" fontId="18" fillId="0" borderId="14" xfId="0" applyFont="1" applyBorder="1" applyAlignment="1">
      <alignment horizontal="center"/>
    </xf>
    <xf numFmtId="181" fontId="17" fillId="0" borderId="19" xfId="0" applyNumberFormat="1" applyFont="1" applyBorder="1" applyAlignment="1">
      <alignment/>
    </xf>
    <xf numFmtId="0" fontId="17" fillId="0" borderId="0" xfId="0" applyFont="1" applyAlignment="1">
      <alignment vertical="top"/>
    </xf>
    <xf numFmtId="0" fontId="57" fillId="0" borderId="0" xfId="63" applyNumberFormat="1" applyFont="1" applyAlignment="1" applyProtection="1">
      <alignment horizontal="center"/>
      <protection/>
    </xf>
    <xf numFmtId="0" fontId="18" fillId="0" borderId="20" xfId="0" applyFont="1" applyBorder="1" applyAlignment="1">
      <alignment horizontal="center" vertical="center" wrapText="1"/>
    </xf>
    <xf numFmtId="0" fontId="18" fillId="0" borderId="21" xfId="0" applyFont="1" applyBorder="1" applyAlignment="1">
      <alignment/>
    </xf>
    <xf numFmtId="0" fontId="18" fillId="0" borderId="2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left" vertical="center" wrapText="1"/>
    </xf>
    <xf numFmtId="185" fontId="18" fillId="0" borderId="18" xfId="0" applyNumberFormat="1" applyFont="1" applyBorder="1" applyAlignment="1" applyProtection="1">
      <alignment horizontal="center" vertical="center" wrapText="1"/>
      <protection/>
    </xf>
    <xf numFmtId="197" fontId="18" fillId="0" borderId="13" xfId="0" applyNumberFormat="1" applyFont="1" applyBorder="1" applyAlignment="1" applyProtection="1">
      <alignment horizontal="center" vertical="center" wrapText="1"/>
      <protection/>
    </xf>
    <xf numFmtId="191" fontId="18" fillId="0" borderId="13" xfId="0" applyNumberFormat="1" applyFont="1" applyBorder="1" applyAlignment="1" applyProtection="1">
      <alignment horizontal="center" vertical="center" wrapText="1"/>
      <protection/>
    </xf>
    <xf numFmtId="0" fontId="18" fillId="0" borderId="12" xfId="0" applyFont="1" applyBorder="1" applyAlignment="1">
      <alignment horizontal="left"/>
    </xf>
    <xf numFmtId="0" fontId="18" fillId="0" borderId="0" xfId="0" applyFont="1" applyBorder="1" applyAlignment="1">
      <alignment vertical="center"/>
    </xf>
    <xf numFmtId="1" fontId="18" fillId="0" borderId="18" xfId="0" applyNumberFormat="1" applyFont="1" applyBorder="1" applyAlignment="1" applyProtection="1">
      <alignment horizontal="center" vertical="center" wrapText="1"/>
      <protection/>
    </xf>
    <xf numFmtId="196" fontId="18" fillId="0" borderId="13" xfId="0" applyNumberFormat="1" applyFont="1" applyBorder="1" applyAlignment="1" applyProtection="1">
      <alignment horizontal="center" vertical="center" wrapText="1"/>
      <protection/>
    </xf>
    <xf numFmtId="1" fontId="18" fillId="0" borderId="19" xfId="0" applyNumberFormat="1" applyFont="1" applyBorder="1" applyAlignment="1" applyProtection="1">
      <alignment horizontal="center" vertical="center" wrapText="1"/>
      <protection/>
    </xf>
    <xf numFmtId="0" fontId="18" fillId="0" borderId="20" xfId="0" applyFont="1" applyBorder="1" applyAlignment="1">
      <alignment/>
    </xf>
    <xf numFmtId="174" fontId="18" fillId="0" borderId="0" xfId="63" applyNumberFormat="1" applyFont="1" applyBorder="1" applyAlignment="1" applyProtection="1">
      <alignment/>
      <protection/>
    </xf>
    <xf numFmtId="0" fontId="62" fillId="0" borderId="0" xfId="0" applyFont="1" applyAlignment="1" applyProtection="1">
      <alignment/>
      <protection/>
    </xf>
    <xf numFmtId="0" fontId="58" fillId="0" borderId="0" xfId="0" applyFont="1" applyFill="1" applyAlignment="1" applyProtection="1">
      <alignment/>
      <protection/>
    </xf>
    <xf numFmtId="0" fontId="62" fillId="0" borderId="0" xfId="0" applyFont="1" applyFill="1" applyAlignment="1" applyProtection="1">
      <alignment/>
      <protection/>
    </xf>
    <xf numFmtId="180" fontId="57" fillId="22" borderId="22" xfId="63" applyNumberFormat="1" applyFont="1" applyFill="1" applyBorder="1" applyAlignment="1" applyProtection="1">
      <alignment horizontal="center"/>
      <protection/>
    </xf>
    <xf numFmtId="175" fontId="57" fillId="22" borderId="22" xfId="63" applyNumberFormat="1" applyFont="1" applyFill="1" applyBorder="1" applyAlignment="1" applyProtection="1">
      <alignment horizontal="right"/>
      <protection/>
    </xf>
    <xf numFmtId="175" fontId="57" fillId="22" borderId="20" xfId="63" applyNumberFormat="1" applyFont="1" applyFill="1" applyBorder="1" applyAlignment="1" applyProtection="1">
      <alignment horizontal="center"/>
      <protection/>
    </xf>
    <xf numFmtId="0" fontId="59" fillId="4" borderId="0" xfId="63" applyNumberFormat="1" applyFont="1" applyFill="1" applyAlignment="1" applyProtection="1">
      <alignment/>
      <protection/>
    </xf>
    <xf numFmtId="0" fontId="18" fillId="4" borderId="0" xfId="63" applyNumberFormat="1" applyFont="1" applyFill="1" applyAlignment="1" applyProtection="1">
      <alignment/>
      <protection/>
    </xf>
    <xf numFmtId="0" fontId="18" fillId="4" borderId="0" xfId="0" applyFont="1" applyFill="1" applyAlignment="1">
      <alignment/>
    </xf>
    <xf numFmtId="189" fontId="0" fillId="4" borderId="0" xfId="65" applyNumberFormat="1" applyFont="1" applyFill="1" applyAlignment="1">
      <alignment horizontal="center"/>
      <protection/>
    </xf>
    <xf numFmtId="188" fontId="0" fillId="4" borderId="0" xfId="65" applyNumberFormat="1" applyFont="1" applyFill="1" applyAlignment="1">
      <alignment horizontal="center"/>
      <protection/>
    </xf>
    <xf numFmtId="2" fontId="0" fillId="4" borderId="0" xfId="65" applyNumberFormat="1" applyFont="1" applyFill="1" applyAlignment="1">
      <alignment horizontal="center"/>
      <protection/>
    </xf>
    <xf numFmtId="185" fontId="0" fillId="4" borderId="0" xfId="65" applyNumberFormat="1" applyFont="1" applyFill="1" applyAlignment="1">
      <alignment horizontal="center"/>
      <protection/>
    </xf>
    <xf numFmtId="1" fontId="0" fillId="4" borderId="0" xfId="65" applyNumberFormat="1" applyFont="1" applyFill="1" applyAlignment="1">
      <alignment horizontal="center"/>
      <protection/>
    </xf>
    <xf numFmtId="199" fontId="0" fillId="4" borderId="0" xfId="65" applyNumberFormat="1" applyFont="1" applyFill="1" applyAlignment="1">
      <alignment horizontal="center"/>
      <protection/>
    </xf>
    <xf numFmtId="189" fontId="0" fillId="0" borderId="0" xfId="65" applyNumberFormat="1" applyFont="1" applyFill="1" applyAlignment="1">
      <alignment horizontal="center"/>
      <protection/>
    </xf>
    <xf numFmtId="188" fontId="0" fillId="0" borderId="0" xfId="65" applyNumberFormat="1" applyFont="1" applyFill="1" applyAlignment="1">
      <alignment horizontal="center"/>
      <protection/>
    </xf>
    <xf numFmtId="2" fontId="0" fillId="0" borderId="0" xfId="65" applyNumberFormat="1" applyFont="1" applyFill="1" applyAlignment="1">
      <alignment horizontal="center"/>
      <protection/>
    </xf>
    <xf numFmtId="185" fontId="0" fillId="0" borderId="0" xfId="65" applyNumberFormat="1" applyFont="1" applyFill="1" applyAlignment="1">
      <alignment horizontal="center"/>
      <protection/>
    </xf>
    <xf numFmtId="1" fontId="0" fillId="0" borderId="0" xfId="65" applyNumberFormat="1" applyFont="1" applyFill="1" applyAlignment="1">
      <alignment horizontal="center"/>
      <protection/>
    </xf>
    <xf numFmtId="189" fontId="0" fillId="4" borderId="0" xfId="65" applyNumberFormat="1" applyFont="1" applyFill="1" applyAlignment="1">
      <alignment horizontal="center"/>
      <protection/>
    </xf>
    <xf numFmtId="188" fontId="0" fillId="4" borderId="0" xfId="65" applyNumberFormat="1" applyFont="1" applyFill="1" applyAlignment="1">
      <alignment horizontal="center"/>
      <protection/>
    </xf>
    <xf numFmtId="2" fontId="0" fillId="4" borderId="0" xfId="65" applyNumberFormat="1" applyFont="1" applyFill="1" applyAlignment="1">
      <alignment horizontal="center"/>
      <protection/>
    </xf>
    <xf numFmtId="185" fontId="0" fillId="4" borderId="0" xfId="65" applyNumberFormat="1" applyFont="1" applyFill="1" applyAlignment="1">
      <alignment horizontal="center"/>
      <protection/>
    </xf>
    <xf numFmtId="189" fontId="0" fillId="0" borderId="0" xfId="65" applyNumberFormat="1" applyFont="1" applyFill="1" applyAlignment="1">
      <alignment horizontal="center"/>
      <protection/>
    </xf>
    <xf numFmtId="188" fontId="0" fillId="0" borderId="0" xfId="65" applyNumberFormat="1" applyFont="1" applyFill="1" applyAlignment="1">
      <alignment horizontal="center"/>
      <protection/>
    </xf>
    <xf numFmtId="2" fontId="0" fillId="0" borderId="0" xfId="65" applyNumberFormat="1" applyFont="1" applyFill="1" applyAlignment="1">
      <alignment horizontal="center"/>
      <protection/>
    </xf>
    <xf numFmtId="185" fontId="0" fillId="0" borderId="0" xfId="65" applyNumberFormat="1" applyFont="1" applyFill="1" applyAlignment="1">
      <alignment horizontal="center"/>
      <protection/>
    </xf>
    <xf numFmtId="1" fontId="0" fillId="0" borderId="0" xfId="65" applyNumberFormat="1" applyFont="1" applyFill="1" applyAlignment="1">
      <alignment horizontal="center"/>
      <protection/>
    </xf>
    <xf numFmtId="199" fontId="0" fillId="0" borderId="0" xfId="65" applyNumberFormat="1" applyFont="1" applyFill="1" applyAlignment="1">
      <alignment horizontal="center"/>
      <protection/>
    </xf>
    <xf numFmtId="0" fontId="52" fillId="22" borderId="0" xfId="0" applyFont="1" applyFill="1" applyAlignment="1">
      <alignment horizontal="center" wrapText="1"/>
    </xf>
    <xf numFmtId="0" fontId="7" fillId="0" borderId="0" xfId="0" applyFont="1" applyBorder="1" applyAlignment="1">
      <alignment horizontal="center" vertical="center" wrapText="1"/>
    </xf>
    <xf numFmtId="1" fontId="0" fillId="0" borderId="0" xfId="0" applyNumberFormat="1" applyAlignment="1">
      <alignment horizontal="center"/>
    </xf>
    <xf numFmtId="188" fontId="0" fillId="0" borderId="0" xfId="0" applyNumberFormat="1" applyAlignment="1">
      <alignment horizontal="center"/>
    </xf>
    <xf numFmtId="185" fontId="0" fillId="0" borderId="0" xfId="0" applyNumberFormat="1" applyAlignment="1">
      <alignment horizontal="center"/>
    </xf>
    <xf numFmtId="2" fontId="0" fillId="0" borderId="0" xfId="0" applyNumberFormat="1" applyAlignment="1">
      <alignment horizontal="center"/>
    </xf>
    <xf numFmtId="188" fontId="0" fillId="4" borderId="0" xfId="0" applyNumberFormat="1" applyFill="1" applyAlignment="1">
      <alignment horizontal="center"/>
    </xf>
    <xf numFmtId="2" fontId="0" fillId="4" borderId="0" xfId="0" applyNumberFormat="1" applyFill="1" applyAlignment="1">
      <alignment horizontal="center"/>
    </xf>
    <xf numFmtId="189" fontId="0" fillId="4" borderId="0" xfId="0" applyNumberFormat="1" applyFill="1" applyAlignment="1">
      <alignment horizontal="center"/>
    </xf>
    <xf numFmtId="199" fontId="0" fillId="4" borderId="0" xfId="0" applyNumberFormat="1" applyFill="1" applyAlignment="1">
      <alignment horizontal="center"/>
    </xf>
    <xf numFmtId="185" fontId="0" fillId="4" borderId="0" xfId="0" applyNumberFormat="1" applyFill="1" applyAlignment="1">
      <alignment horizontal="center"/>
    </xf>
    <xf numFmtId="1" fontId="0" fillId="4" borderId="0" xfId="0" applyNumberFormat="1" applyFill="1" applyAlignment="1">
      <alignment horizontal="center"/>
    </xf>
    <xf numFmtId="1" fontId="0" fillId="0" borderId="0" xfId="0" applyNumberFormat="1" applyFill="1" applyAlignment="1">
      <alignment horizontal="center"/>
    </xf>
    <xf numFmtId="2" fontId="0" fillId="0" borderId="0" xfId="0" applyNumberFormat="1" applyFill="1" applyAlignment="1">
      <alignment horizontal="center"/>
    </xf>
    <xf numFmtId="185" fontId="0" fillId="0" borderId="0" xfId="0" applyNumberFormat="1" applyFill="1" applyAlignment="1">
      <alignment horizontal="center"/>
    </xf>
    <xf numFmtId="189" fontId="0" fillId="0" borderId="0" xfId="0" applyNumberFormat="1" applyFill="1" applyAlignment="1">
      <alignment horizontal="center"/>
    </xf>
    <xf numFmtId="188" fontId="0" fillId="0" borderId="0" xfId="0" applyNumberFormat="1" applyFill="1" applyAlignment="1">
      <alignment horizontal="center"/>
    </xf>
    <xf numFmtId="0" fontId="0" fillId="4" borderId="0" xfId="0" applyFill="1" applyAlignment="1">
      <alignment horizontal="center"/>
    </xf>
    <xf numFmtId="0" fontId="52" fillId="0" borderId="0" xfId="0" applyFont="1" applyAlignment="1">
      <alignment horizontal="center" wrapText="1"/>
    </xf>
    <xf numFmtId="0" fontId="0" fillId="0" borderId="0" xfId="0" applyFont="1" applyAlignment="1">
      <alignment horizontal="center" wrapText="1"/>
    </xf>
    <xf numFmtId="185" fontId="0" fillId="0" borderId="0" xfId="0" applyNumberFormat="1" applyFont="1" applyAlignment="1">
      <alignment horizontal="center"/>
    </xf>
    <xf numFmtId="188" fontId="0" fillId="0" borderId="0" xfId="0" applyNumberFormat="1" applyFont="1" applyAlignment="1">
      <alignment horizontal="center"/>
    </xf>
    <xf numFmtId="2" fontId="0" fillId="0" borderId="0" xfId="0" applyNumberFormat="1" applyFont="1" applyAlignment="1">
      <alignment horizontal="center"/>
    </xf>
    <xf numFmtId="189" fontId="0" fillId="0" borderId="0" xfId="42" applyNumberFormat="1" applyFont="1" applyAlignment="1">
      <alignment horizontal="center"/>
    </xf>
    <xf numFmtId="188" fontId="0" fillId="0" borderId="0" xfId="42" applyNumberFormat="1" applyFont="1" applyAlignment="1">
      <alignment horizontal="center"/>
    </xf>
    <xf numFmtId="2" fontId="0" fillId="0" borderId="0" xfId="42" applyNumberFormat="1" applyFont="1" applyAlignment="1">
      <alignment horizontal="center"/>
    </xf>
    <xf numFmtId="185" fontId="0" fillId="0" borderId="0" xfId="42" applyNumberFormat="1" applyFont="1" applyAlignment="1">
      <alignment horizontal="center"/>
    </xf>
    <xf numFmtId="2" fontId="0" fillId="0" borderId="0" xfId="0" applyNumberFormat="1" applyFont="1" applyAlignment="1">
      <alignment horizontal="center"/>
    </xf>
    <xf numFmtId="185" fontId="0" fillId="0" borderId="0" xfId="0" applyNumberFormat="1" applyFont="1" applyAlignment="1">
      <alignment horizontal="center"/>
    </xf>
    <xf numFmtId="1" fontId="0" fillId="0" borderId="0" xfId="42" applyNumberFormat="1" applyFont="1" applyAlignment="1">
      <alignment horizontal="center"/>
    </xf>
    <xf numFmtId="1" fontId="0" fillId="22" borderId="0" xfId="0" applyNumberFormat="1" applyFont="1" applyFill="1" applyAlignment="1">
      <alignment horizontal="center"/>
    </xf>
    <xf numFmtId="1" fontId="0" fillId="22" borderId="0" xfId="42" applyNumberFormat="1" applyFont="1" applyFill="1" applyAlignment="1">
      <alignment horizontal="center"/>
    </xf>
    <xf numFmtId="0" fontId="18" fillId="24" borderId="0" xfId="63" applyNumberFormat="1" applyFont="1" applyFill="1" applyBorder="1" applyAlignment="1" applyProtection="1">
      <alignment horizontal="right"/>
      <protection/>
    </xf>
    <xf numFmtId="0" fontId="18" fillId="24" borderId="0" xfId="63" applyNumberFormat="1" applyFont="1" applyFill="1" applyBorder="1" applyAlignment="1" applyProtection="1">
      <alignment/>
      <protection/>
    </xf>
    <xf numFmtId="0" fontId="18" fillId="24" borderId="0" xfId="0" applyFont="1" applyFill="1" applyAlignment="1">
      <alignment/>
    </xf>
    <xf numFmtId="0" fontId="18" fillId="24" borderId="0" xfId="0" applyFont="1" applyFill="1" applyBorder="1" applyAlignment="1">
      <alignment/>
    </xf>
    <xf numFmtId="0" fontId="18" fillId="0" borderId="10" xfId="0" applyFont="1" applyBorder="1" applyAlignment="1">
      <alignment/>
    </xf>
    <xf numFmtId="0" fontId="18" fillId="0" borderId="16" xfId="0" applyFont="1" applyBorder="1" applyAlignment="1">
      <alignment/>
    </xf>
    <xf numFmtId="0" fontId="18" fillId="0" borderId="17" xfId="0" applyFont="1" applyBorder="1" applyAlignment="1">
      <alignment/>
    </xf>
    <xf numFmtId="188" fontId="18" fillId="0" borderId="18" xfId="63" applyNumberFormat="1" applyFont="1" applyBorder="1" applyAlignment="1" applyProtection="1">
      <alignment horizontal="center"/>
      <protection/>
    </xf>
    <xf numFmtId="188" fontId="18" fillId="0" borderId="19" xfId="63" applyNumberFormat="1" applyFont="1" applyBorder="1" applyAlignment="1" applyProtection="1">
      <alignment horizontal="center"/>
      <protection/>
    </xf>
    <xf numFmtId="191" fontId="18" fillId="0" borderId="18" xfId="0" applyNumberFormat="1" applyFont="1" applyBorder="1" applyAlignment="1" applyProtection="1">
      <alignment horizontal="center" vertical="center" wrapText="1"/>
      <protection/>
    </xf>
    <xf numFmtId="196" fontId="18" fillId="0" borderId="18" xfId="0" applyNumberFormat="1" applyFont="1" applyBorder="1" applyAlignment="1" applyProtection="1">
      <alignment horizontal="center" vertical="center" wrapText="1"/>
      <protection/>
    </xf>
    <xf numFmtId="191" fontId="18" fillId="0" borderId="19" xfId="0" applyNumberFormat="1" applyFont="1" applyBorder="1" applyAlignment="1" applyProtection="1">
      <alignment horizontal="center" vertical="center" wrapText="1"/>
      <protection/>
    </xf>
    <xf numFmtId="0" fontId="18" fillId="0" borderId="19" xfId="0" applyFont="1" applyBorder="1" applyAlignment="1">
      <alignment horizontal="center"/>
    </xf>
    <xf numFmtId="0" fontId="6" fillId="0" borderId="0" xfId="63" applyNumberFormat="1" applyFont="1" applyFill="1" applyAlignment="1" applyProtection="1">
      <alignment/>
      <protection/>
    </xf>
    <xf numFmtId="0" fontId="6" fillId="0" borderId="11"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2" xfId="63" applyNumberFormat="1" applyFont="1" applyFill="1" applyBorder="1" applyAlignment="1" applyProtection="1">
      <alignment/>
      <protection/>
    </xf>
    <xf numFmtId="0" fontId="6" fillId="0" borderId="0" xfId="63" applyNumberFormat="1" applyFont="1" applyFill="1" applyBorder="1" applyAlignment="1" applyProtection="1">
      <alignment/>
      <protection/>
    </xf>
    <xf numFmtId="172" fontId="6" fillId="0" borderId="0" xfId="63" applyNumberFormat="1" applyFont="1" applyFill="1" applyBorder="1" applyAlignment="1" applyProtection="1">
      <alignment/>
      <protection/>
    </xf>
    <xf numFmtId="0" fontId="6" fillId="0" borderId="15" xfId="63" applyNumberFormat="1" applyFont="1" applyFill="1" applyBorder="1" applyAlignment="1" applyProtection="1">
      <alignment/>
      <protection/>
    </xf>
    <xf numFmtId="0" fontId="6" fillId="0" borderId="0" xfId="0" applyFont="1" applyFill="1" applyBorder="1" applyAlignment="1">
      <alignment/>
    </xf>
    <xf numFmtId="0" fontId="5" fillId="0" borderId="0" xfId="63" applyNumberFormat="1" applyFont="1" applyFill="1" applyAlignment="1" applyProtection="1">
      <alignment/>
      <protection/>
    </xf>
    <xf numFmtId="0" fontId="6" fillId="0" borderId="10" xfId="63" applyNumberFormat="1" applyFont="1" applyFill="1" applyBorder="1" applyAlignment="1" applyProtection="1">
      <alignment/>
      <protection/>
    </xf>
    <xf numFmtId="181" fontId="6" fillId="0" borderId="11" xfId="63" applyNumberFormat="1" applyFont="1" applyFill="1" applyBorder="1" applyAlignment="1" applyProtection="1">
      <alignment/>
      <protection/>
    </xf>
    <xf numFmtId="0" fontId="6" fillId="0" borderId="11" xfId="0" applyFont="1" applyFill="1" applyBorder="1" applyAlignment="1">
      <alignment/>
    </xf>
    <xf numFmtId="0" fontId="6" fillId="0" borderId="0" xfId="63" applyNumberFormat="1" applyFont="1" applyFill="1" applyBorder="1" applyAlignment="1" applyProtection="1">
      <alignment horizontal="center"/>
      <protection/>
    </xf>
    <xf numFmtId="0" fontId="6" fillId="0" borderId="0" xfId="63" applyNumberFormat="1" applyFont="1" applyFill="1" applyBorder="1" applyAlignment="1" applyProtection="1">
      <alignment horizontal="right"/>
      <protection/>
    </xf>
    <xf numFmtId="176" fontId="6" fillId="0" borderId="0" xfId="63" applyNumberFormat="1" applyFont="1" applyFill="1" applyBorder="1" applyAlignment="1" applyProtection="1">
      <alignment/>
      <protection locked="0"/>
    </xf>
    <xf numFmtId="0" fontId="6" fillId="0" borderId="12" xfId="0" applyFont="1" applyFill="1" applyBorder="1" applyAlignment="1">
      <alignment/>
    </xf>
    <xf numFmtId="172" fontId="6" fillId="0" borderId="0" xfId="63" applyNumberFormat="1" applyFont="1" applyFill="1" applyBorder="1" applyAlignment="1" applyProtection="1">
      <alignment horizontal="center"/>
      <protection/>
    </xf>
    <xf numFmtId="173" fontId="6" fillId="0" borderId="0" xfId="63" applyNumberFormat="1" applyFont="1" applyFill="1" applyBorder="1" applyAlignment="1" applyProtection="1">
      <alignment horizontal="center"/>
      <protection/>
    </xf>
    <xf numFmtId="173" fontId="6" fillId="0" borderId="0" xfId="63" applyNumberFormat="1" applyFont="1" applyFill="1" applyBorder="1" applyAlignment="1" applyProtection="1">
      <alignment/>
      <protection/>
    </xf>
    <xf numFmtId="182" fontId="6" fillId="0" borderId="0" xfId="63" applyNumberFormat="1" applyFont="1" applyFill="1" applyBorder="1" applyAlignment="1" applyProtection="1">
      <alignment horizontal="center"/>
      <protection/>
    </xf>
    <xf numFmtId="0" fontId="6" fillId="0" borderId="14" xfId="63" applyNumberFormat="1" applyFont="1" applyFill="1" applyBorder="1" applyAlignment="1" applyProtection="1">
      <alignment horizontal="center"/>
      <protection/>
    </xf>
    <xf numFmtId="182" fontId="6" fillId="0" borderId="15" xfId="63" applyNumberFormat="1" applyFont="1" applyFill="1" applyBorder="1" applyAlignment="1" applyProtection="1">
      <alignment horizontal="center"/>
      <protection/>
    </xf>
    <xf numFmtId="0" fontId="6" fillId="0" borderId="15" xfId="0" applyFont="1" applyFill="1" applyBorder="1" applyAlignment="1">
      <alignment/>
    </xf>
    <xf numFmtId="172" fontId="6" fillId="0" borderId="0" xfId="63" applyNumberFormat="1" applyFont="1" applyFill="1" applyAlignment="1" applyProtection="1">
      <alignment/>
      <protection/>
    </xf>
    <xf numFmtId="0" fontId="6" fillId="0" borderId="1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3" xfId="0" applyFont="1" applyFill="1" applyBorder="1" applyAlignment="1">
      <alignment horizontal="center"/>
    </xf>
    <xf numFmtId="0" fontId="6" fillId="0" borderId="14" xfId="0" applyFont="1" applyFill="1" applyBorder="1" applyAlignment="1">
      <alignment/>
    </xf>
    <xf numFmtId="0" fontId="6" fillId="0" borderId="13" xfId="0" applyFont="1" applyFill="1" applyBorder="1" applyAlignment="1">
      <alignment/>
    </xf>
    <xf numFmtId="181" fontId="8" fillId="0" borderId="17" xfId="0" applyNumberFormat="1" applyFont="1" applyFill="1" applyBorder="1" applyAlignment="1">
      <alignment/>
    </xf>
    <xf numFmtId="0" fontId="6" fillId="0" borderId="12" xfId="0" applyFont="1" applyFill="1" applyBorder="1" applyAlignment="1">
      <alignment horizontal="center"/>
    </xf>
    <xf numFmtId="191" fontId="6" fillId="0" borderId="0" xfId="63" applyNumberFormat="1" applyFont="1" applyFill="1" applyBorder="1" applyAlignment="1" applyProtection="1">
      <alignment horizontal="center"/>
      <protection/>
    </xf>
    <xf numFmtId="188" fontId="6" fillId="0" borderId="0" xfId="63" applyNumberFormat="1" applyFont="1" applyFill="1" applyBorder="1" applyAlignment="1" applyProtection="1">
      <alignment horizontal="center"/>
      <protection/>
    </xf>
    <xf numFmtId="196" fontId="6" fillId="0" borderId="0" xfId="63" applyNumberFormat="1" applyFont="1" applyFill="1" applyBorder="1" applyAlignment="1" applyProtection="1">
      <alignment horizontal="center"/>
      <protection/>
    </xf>
    <xf numFmtId="196" fontId="6" fillId="0" borderId="13" xfId="63" applyNumberFormat="1" applyFont="1" applyFill="1" applyBorder="1" applyAlignment="1" applyProtection="1">
      <alignment horizontal="center"/>
      <protection/>
    </xf>
    <xf numFmtId="181" fontId="8" fillId="0" borderId="18" xfId="0" applyNumberFormat="1" applyFont="1" applyFill="1" applyBorder="1" applyAlignment="1">
      <alignment/>
    </xf>
    <xf numFmtId="197" fontId="6" fillId="0" borderId="0" xfId="63" applyNumberFormat="1" applyFont="1" applyFill="1" applyBorder="1" applyAlignment="1" applyProtection="1">
      <alignment horizontal="center"/>
      <protection/>
    </xf>
    <xf numFmtId="197" fontId="6" fillId="0" borderId="13" xfId="63" applyNumberFormat="1" applyFont="1" applyFill="1" applyBorder="1" applyAlignment="1" applyProtection="1">
      <alignment horizontal="center"/>
      <protection/>
    </xf>
    <xf numFmtId="0" fontId="6" fillId="0" borderId="14" xfId="0" applyFont="1" applyFill="1" applyBorder="1" applyAlignment="1">
      <alignment horizontal="center"/>
    </xf>
    <xf numFmtId="191" fontId="6" fillId="0" borderId="15" xfId="63" applyNumberFormat="1" applyFont="1" applyFill="1" applyBorder="1" applyAlignment="1" applyProtection="1">
      <alignment horizontal="center"/>
      <protection/>
    </xf>
    <xf numFmtId="188" fontId="6" fillId="0" borderId="15" xfId="63" applyNumberFormat="1" applyFont="1" applyFill="1" applyBorder="1" applyAlignment="1" applyProtection="1">
      <alignment horizontal="center"/>
      <protection/>
    </xf>
    <xf numFmtId="172" fontId="6" fillId="0" borderId="15" xfId="63" applyNumberFormat="1" applyFont="1" applyFill="1" applyBorder="1" applyAlignment="1" applyProtection="1">
      <alignment horizontal="center"/>
      <protection/>
    </xf>
    <xf numFmtId="191" fontId="6" fillId="0" borderId="24" xfId="63" applyNumberFormat="1" applyFont="1" applyFill="1" applyBorder="1" applyAlignment="1" applyProtection="1">
      <alignment horizontal="center"/>
      <protection/>
    </xf>
    <xf numFmtId="181" fontId="8" fillId="0" borderId="19" xfId="0" applyNumberFormat="1" applyFont="1" applyFill="1" applyBorder="1" applyAlignment="1">
      <alignment/>
    </xf>
    <xf numFmtId="0" fontId="9" fillId="0" borderId="0" xfId="0" applyFont="1" applyFill="1" applyAlignment="1">
      <alignment vertical="top"/>
    </xf>
    <xf numFmtId="0" fontId="7" fillId="0" borderId="0" xfId="0" applyFont="1" applyFill="1" applyAlignment="1">
      <alignment/>
    </xf>
    <xf numFmtId="0" fontId="10" fillId="0" borderId="0" xfId="63" applyNumberFormat="1" applyFont="1" applyFill="1" applyAlignment="1" applyProtection="1">
      <alignment horizontal="center"/>
      <protection/>
    </xf>
    <xf numFmtId="0" fontId="6" fillId="0" borderId="20" xfId="0" applyFont="1" applyFill="1" applyBorder="1" applyAlignment="1">
      <alignment horizontal="center" vertical="center" wrapText="1"/>
    </xf>
    <xf numFmtId="0" fontId="6" fillId="0" borderId="21" xfId="0" applyFont="1" applyFill="1" applyBorder="1" applyAlignment="1">
      <alignment/>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left" vertical="center" wrapText="1"/>
    </xf>
    <xf numFmtId="185" fontId="6" fillId="0" borderId="18" xfId="0" applyNumberFormat="1" applyFont="1" applyFill="1" applyBorder="1" applyAlignment="1" applyProtection="1">
      <alignment horizontal="center" vertical="center" wrapText="1"/>
      <protection/>
    </xf>
    <xf numFmtId="191" fontId="6" fillId="0" borderId="12" xfId="0" applyNumberFormat="1" applyFont="1" applyFill="1" applyBorder="1" applyAlignment="1" applyProtection="1">
      <alignment horizontal="center" vertical="center" wrapText="1"/>
      <protection/>
    </xf>
    <xf numFmtId="197" fontId="6" fillId="0" borderId="13" xfId="0" applyNumberFormat="1" applyFont="1" applyFill="1" applyBorder="1" applyAlignment="1" applyProtection="1">
      <alignment horizontal="center" vertical="center" wrapText="1"/>
      <protection/>
    </xf>
    <xf numFmtId="191" fontId="6" fillId="0" borderId="13" xfId="0" applyNumberFormat="1" applyFont="1" applyFill="1" applyBorder="1" applyAlignment="1" applyProtection="1">
      <alignment horizontal="center" vertical="center" wrapText="1"/>
      <protection/>
    </xf>
    <xf numFmtId="0" fontId="6" fillId="0" borderId="12" xfId="0" applyFont="1" applyFill="1" applyBorder="1" applyAlignment="1">
      <alignment horizontal="left"/>
    </xf>
    <xf numFmtId="0" fontId="6" fillId="0" borderId="0" xfId="0" applyFont="1" applyFill="1" applyBorder="1" applyAlignment="1">
      <alignment vertical="center"/>
    </xf>
    <xf numFmtId="1" fontId="6" fillId="0" borderId="18" xfId="0" applyNumberFormat="1" applyFont="1" applyFill="1" applyBorder="1" applyAlignment="1" applyProtection="1">
      <alignment horizontal="center" vertical="center" wrapText="1"/>
      <protection/>
    </xf>
    <xf numFmtId="196" fontId="6" fillId="0" borderId="12" xfId="0" applyNumberFormat="1" applyFont="1" applyFill="1" applyBorder="1" applyAlignment="1" applyProtection="1">
      <alignment horizontal="center" vertical="center" wrapText="1"/>
      <protection/>
    </xf>
    <xf numFmtId="196" fontId="6" fillId="0" borderId="13" xfId="0" applyNumberFormat="1" applyFont="1" applyFill="1" applyBorder="1" applyAlignment="1" applyProtection="1">
      <alignment horizontal="center" vertical="center" wrapText="1"/>
      <protection/>
    </xf>
    <xf numFmtId="1" fontId="6" fillId="0" borderId="19" xfId="0" applyNumberFormat="1" applyFont="1" applyFill="1" applyBorder="1" applyAlignment="1" applyProtection="1">
      <alignment horizontal="center" vertical="center" wrapText="1"/>
      <protection/>
    </xf>
    <xf numFmtId="191" fontId="6" fillId="0" borderId="14" xfId="0" applyNumberFormat="1" applyFont="1" applyFill="1" applyBorder="1" applyAlignment="1" applyProtection="1">
      <alignment horizontal="center" vertical="center" wrapText="1"/>
      <protection/>
    </xf>
    <xf numFmtId="191" fontId="6" fillId="0" borderId="24" xfId="0" applyNumberFormat="1" applyFont="1" applyFill="1" applyBorder="1" applyAlignment="1" applyProtection="1">
      <alignment horizontal="center" vertical="center" wrapText="1"/>
      <protection/>
    </xf>
    <xf numFmtId="0" fontId="6" fillId="0" borderId="20" xfId="0" applyFont="1" applyFill="1" applyBorder="1" applyAlignment="1">
      <alignment/>
    </xf>
    <xf numFmtId="175" fontId="10" fillId="0" borderId="22" xfId="63" applyNumberFormat="1" applyFont="1" applyFill="1" applyBorder="1" applyAlignment="1" applyProtection="1">
      <alignment horizontal="right"/>
      <protection/>
    </xf>
    <xf numFmtId="175" fontId="10" fillId="0" borderId="20" xfId="63" applyNumberFormat="1" applyFont="1" applyFill="1" applyBorder="1" applyAlignment="1" applyProtection="1">
      <alignment horizontal="center"/>
      <protection/>
    </xf>
    <xf numFmtId="180" fontId="10" fillId="0" borderId="22" xfId="63" applyNumberFormat="1" applyFont="1" applyFill="1" applyBorder="1" applyAlignment="1" applyProtection="1">
      <alignment horizontal="center"/>
      <protection/>
    </xf>
    <xf numFmtId="0" fontId="0" fillId="24" borderId="0" xfId="0" applyNumberFormat="1" applyFont="1" applyFill="1" applyAlignment="1">
      <alignment horizontal="center"/>
    </xf>
    <xf numFmtId="0" fontId="0" fillId="24" borderId="0" xfId="0" applyNumberFormat="1" applyFont="1" applyFill="1" applyAlignment="1">
      <alignment horizontal="center"/>
    </xf>
    <xf numFmtId="0" fontId="0" fillId="0" borderId="0" xfId="0" applyNumberFormat="1" applyFont="1" applyAlignment="1">
      <alignment horizontal="center"/>
    </xf>
    <xf numFmtId="0" fontId="0" fillId="0" borderId="0" xfId="0" applyNumberFormat="1" applyFont="1" applyAlignment="1">
      <alignment horizontal="center"/>
    </xf>
    <xf numFmtId="0" fontId="0" fillId="0" borderId="0" xfId="0" applyNumberFormat="1" applyFont="1" applyFill="1" applyAlignment="1">
      <alignment horizontal="center"/>
    </xf>
    <xf numFmtId="2" fontId="0" fillId="0" borderId="0" xfId="0" applyNumberFormat="1" applyFont="1" applyFill="1" applyAlignment="1">
      <alignment horizontal="center"/>
    </xf>
    <xf numFmtId="185" fontId="0" fillId="0" borderId="0" xfId="0" applyNumberFormat="1" applyFont="1" applyFill="1" applyAlignment="1">
      <alignment horizontal="center"/>
    </xf>
    <xf numFmtId="199" fontId="0" fillId="0" borderId="0" xfId="0" applyNumberFormat="1" applyFont="1" applyFill="1" applyAlignment="1">
      <alignment horizontal="center"/>
    </xf>
    <xf numFmtId="172" fontId="57" fillId="25" borderId="0" xfId="63" applyNumberFormat="1" applyFont="1" applyFill="1" applyAlignment="1" applyProtection="1">
      <alignment/>
      <protection/>
    </xf>
    <xf numFmtId="0" fontId="12" fillId="0" borderId="0" xfId="63" applyNumberFormat="1" applyFont="1" applyAlignment="1" applyProtection="1">
      <alignment vertical="center"/>
      <protection/>
    </xf>
    <xf numFmtId="0" fontId="6" fillId="0" borderId="0" xfId="0" applyNumberFormat="1" applyFont="1" applyAlignment="1" applyProtection="1">
      <alignment vertical="center"/>
      <protection/>
    </xf>
    <xf numFmtId="0" fontId="6" fillId="0" borderId="0" xfId="63" applyNumberFormat="1" applyFont="1" applyAlignment="1" applyProtection="1">
      <alignment vertical="center"/>
      <protection/>
    </xf>
    <xf numFmtId="0" fontId="63" fillId="26" borderId="0" xfId="63" applyNumberFormat="1" applyFont="1" applyFill="1" applyAlignment="1" applyProtection="1">
      <alignment vertical="center"/>
      <protection/>
    </xf>
    <xf numFmtId="0" fontId="64" fillId="26" borderId="0" xfId="0" applyNumberFormat="1" applyFont="1" applyFill="1" applyAlignment="1" applyProtection="1">
      <alignment vertical="center"/>
      <protection/>
    </xf>
    <xf numFmtId="0" fontId="58" fillId="0" borderId="0" xfId="62" applyFont="1" applyFill="1" applyAlignment="1">
      <alignment horizontal="center" vertical="top" wrapText="1"/>
      <protection/>
    </xf>
    <xf numFmtId="0" fontId="66" fillId="0" borderId="0" xfId="62" applyFont="1" applyFill="1" applyAlignment="1">
      <alignment horizontal="center" vertical="top" wrapText="1"/>
      <protection/>
    </xf>
    <xf numFmtId="49" fontId="31" fillId="0" borderId="0" xfId="62" applyNumberFormat="1" applyFont="1" applyFill="1" applyAlignment="1">
      <alignment horizontal="center"/>
      <protection/>
    </xf>
    <xf numFmtId="0" fontId="31" fillId="0" borderId="0" xfId="62" applyFont="1" applyFill="1" applyAlignment="1">
      <alignment horizontal="center"/>
      <protection/>
    </xf>
    <xf numFmtId="0" fontId="66" fillId="0" borderId="0" xfId="62" applyFont="1" applyFill="1" applyAlignment="1">
      <alignment horizontal="center"/>
      <protection/>
    </xf>
    <xf numFmtId="0" fontId="58" fillId="0" borderId="0" xfId="61" applyFont="1" applyFill="1" applyAlignment="1">
      <alignment horizontal="center" vertical="top" wrapText="1"/>
      <protection/>
    </xf>
    <xf numFmtId="0" fontId="66" fillId="0" borderId="0" xfId="61" applyFont="1" applyFill="1" applyAlignment="1">
      <alignment horizontal="center" vertical="top" wrapText="1"/>
      <protection/>
    </xf>
    <xf numFmtId="0" fontId="67" fillId="0" borderId="0" xfId="61" applyFont="1" applyFill="1" applyAlignment="1">
      <alignment horizontal="center" vertical="top" wrapText="1"/>
      <protection/>
    </xf>
    <xf numFmtId="0" fontId="31" fillId="0" borderId="0" xfId="61" applyFont="1" applyFill="1" applyAlignment="1">
      <alignment horizontal="center"/>
      <protection/>
    </xf>
    <xf numFmtId="0" fontId="66" fillId="0" borderId="0" xfId="61" applyFont="1" applyFill="1" applyAlignment="1">
      <alignment horizontal="center"/>
      <protection/>
    </xf>
    <xf numFmtId="0" fontId="67" fillId="0" borderId="0" xfId="61" applyFont="1" applyFill="1" applyAlignment="1">
      <alignment horizontal="center"/>
      <protection/>
    </xf>
    <xf numFmtId="0" fontId="31" fillId="0" borderId="0" xfId="61" applyFill="1" applyAlignment="1">
      <alignment horizontal="center"/>
      <protection/>
    </xf>
    <xf numFmtId="0" fontId="66" fillId="7" borderId="0" xfId="61" applyFont="1" applyFill="1" applyAlignment="1">
      <alignment horizontal="center" vertical="top" wrapText="1"/>
      <protection/>
    </xf>
    <xf numFmtId="0" fontId="31" fillId="27" borderId="0" xfId="61" applyFont="1" applyFill="1" applyAlignment="1">
      <alignment horizontal="center"/>
      <protection/>
    </xf>
    <xf numFmtId="0" fontId="66" fillId="7" borderId="0" xfId="61" applyFont="1" applyFill="1" applyAlignment="1">
      <alignment horizontal="center"/>
      <protection/>
    </xf>
    <xf numFmtId="0" fontId="31" fillId="27" borderId="0" xfId="61" applyFill="1" applyAlignment="1">
      <alignment horizontal="center"/>
      <protection/>
    </xf>
    <xf numFmtId="0" fontId="58" fillId="0" borderId="0" xfId="60" applyFont="1" applyFill="1" applyAlignment="1">
      <alignment horizontal="center" vertical="top" wrapText="1"/>
      <protection/>
    </xf>
    <xf numFmtId="0" fontId="66" fillId="0" borderId="0" xfId="60" applyFont="1" applyFill="1" applyAlignment="1">
      <alignment horizontal="center" vertical="top" wrapText="1"/>
      <protection/>
    </xf>
    <xf numFmtId="0" fontId="67" fillId="0" borderId="0" xfId="60" applyFont="1" applyFill="1" applyAlignment="1">
      <alignment horizontal="center" vertical="top" wrapText="1"/>
      <protection/>
    </xf>
    <xf numFmtId="0" fontId="31" fillId="0" borderId="0" xfId="60" applyFont="1" applyFill="1" applyAlignment="1">
      <alignment horizontal="center"/>
      <protection/>
    </xf>
    <xf numFmtId="0" fontId="66" fillId="0" borderId="0" xfId="60" applyFont="1" applyFill="1" applyAlignment="1">
      <alignment horizontal="center"/>
      <protection/>
    </xf>
    <xf numFmtId="0" fontId="67" fillId="0" borderId="0" xfId="60" applyFont="1" applyFill="1" applyAlignment="1">
      <alignment horizontal="center"/>
      <protection/>
    </xf>
    <xf numFmtId="0" fontId="31" fillId="27" borderId="0" xfId="60" applyFont="1" applyFill="1">
      <alignment/>
      <protection/>
    </xf>
    <xf numFmtId="0" fontId="31" fillId="27" borderId="0" xfId="60" applyFont="1" applyFill="1" applyAlignment="1">
      <alignment horizontal="center"/>
      <protection/>
    </xf>
    <xf numFmtId="0" fontId="66" fillId="27" borderId="0" xfId="60" applyFont="1" applyFill="1" applyAlignment="1">
      <alignment horizontal="center"/>
      <protection/>
    </xf>
    <xf numFmtId="0" fontId="66" fillId="7" borderId="0" xfId="60" applyFont="1" applyFill="1" applyAlignment="1">
      <alignment horizontal="center"/>
      <protection/>
    </xf>
    <xf numFmtId="0" fontId="66" fillId="7" borderId="0" xfId="60" applyFont="1" applyFill="1" applyAlignment="1">
      <alignment horizontal="center" vertical="top" wrapText="1"/>
      <protection/>
    </xf>
    <xf numFmtId="0" fontId="31" fillId="27" borderId="0" xfId="60" applyFill="1" applyAlignment="1">
      <alignment horizontal="center"/>
      <protection/>
    </xf>
    <xf numFmtId="0" fontId="31" fillId="0" borderId="0" xfId="60" applyFill="1" applyAlignment="1">
      <alignment horizontal="center"/>
      <protection/>
    </xf>
    <xf numFmtId="0" fontId="31" fillId="0" borderId="0" xfId="60" applyFont="1" applyFill="1">
      <alignment/>
      <protection/>
    </xf>
    <xf numFmtId="49" fontId="31" fillId="0" borderId="0" xfId="58" applyNumberFormat="1" applyFont="1" applyFill="1" applyAlignment="1">
      <alignment horizontal="center"/>
      <protection/>
    </xf>
    <xf numFmtId="0" fontId="31" fillId="0" borderId="0" xfId="58" applyFont="1" applyFill="1" applyAlignment="1">
      <alignment horizontal="center"/>
      <protection/>
    </xf>
    <xf numFmtId="0" fontId="68" fillId="0" borderId="0" xfId="61" applyFont="1" applyFill="1" applyAlignment="1">
      <alignment horizontal="center"/>
      <protection/>
    </xf>
    <xf numFmtId="0" fontId="31" fillId="0" borderId="0" xfId="60" applyFill="1">
      <alignment/>
      <protection/>
    </xf>
    <xf numFmtId="0" fontId="31" fillId="27" borderId="0" xfId="60" applyFill="1">
      <alignment/>
      <protection/>
    </xf>
    <xf numFmtId="0" fontId="66" fillId="27" borderId="0" xfId="60" applyFont="1" applyFill="1" applyAlignment="1">
      <alignment horizontal="center" vertical="top" wrapText="1"/>
      <protection/>
    </xf>
    <xf numFmtId="1" fontId="66" fillId="0" borderId="0" xfId="60" applyNumberFormat="1" applyFont="1" applyFill="1" applyAlignment="1">
      <alignment horizontal="center"/>
      <protection/>
    </xf>
    <xf numFmtId="0" fontId="66" fillId="27" borderId="0" xfId="61" applyFont="1" applyFill="1" applyAlignment="1">
      <alignment horizontal="center" vertical="top" wrapText="1"/>
      <protection/>
    </xf>
    <xf numFmtId="185" fontId="66" fillId="27" borderId="0" xfId="60" applyNumberFormat="1" applyFont="1" applyFill="1" applyAlignment="1">
      <alignment horizontal="center"/>
      <protection/>
    </xf>
    <xf numFmtId="0" fontId="66" fillId="27" borderId="0" xfId="60" applyFont="1" applyFill="1">
      <alignment/>
      <protection/>
    </xf>
    <xf numFmtId="0" fontId="66" fillId="0" borderId="0" xfId="60" applyFont="1" applyFill="1">
      <alignment/>
      <protection/>
    </xf>
    <xf numFmtId="2" fontId="31" fillId="0" borderId="0" xfId="60" applyNumberFormat="1" applyFill="1" applyAlignment="1">
      <alignment horizontal="center"/>
      <protection/>
    </xf>
    <xf numFmtId="0" fontId="0" fillId="0" borderId="0" xfId="0" applyFill="1" applyAlignment="1">
      <alignment/>
    </xf>
    <xf numFmtId="0" fontId="0" fillId="0" borderId="0" xfId="0" applyFill="1" applyAlignment="1">
      <alignment horizontal="center"/>
    </xf>
    <xf numFmtId="0" fontId="0" fillId="27" borderId="0" xfId="0" applyFill="1" applyAlignment="1">
      <alignment/>
    </xf>
    <xf numFmtId="0" fontId="31" fillId="22" borderId="0" xfId="58" applyFont="1" applyFill="1" applyAlignment="1">
      <alignment horizontal="center"/>
      <protection/>
    </xf>
    <xf numFmtId="0" fontId="0" fillId="22" borderId="0" xfId="0" applyFill="1" applyAlignment="1">
      <alignment/>
    </xf>
    <xf numFmtId="49" fontId="31" fillId="27" borderId="0" xfId="58" applyNumberFormat="1" applyFont="1" applyFill="1" applyAlignment="1">
      <alignment horizontal="center"/>
      <protection/>
    </xf>
    <xf numFmtId="185" fontId="66" fillId="0" borderId="0" xfId="60" applyNumberFormat="1" applyFont="1" applyFill="1" applyAlignment="1">
      <alignment horizontal="center"/>
      <protection/>
    </xf>
    <xf numFmtId="0" fontId="66" fillId="0" borderId="0" xfId="60" applyFont="1" applyFill="1">
      <alignment/>
      <protection/>
    </xf>
    <xf numFmtId="0" fontId="31" fillId="22" borderId="0" xfId="60" applyFont="1" applyFill="1" applyAlignment="1">
      <alignment horizontal="center"/>
      <protection/>
    </xf>
    <xf numFmtId="0" fontId="66" fillId="22" borderId="0" xfId="60" applyFont="1" applyFill="1" applyAlignment="1">
      <alignment horizontal="center"/>
      <protection/>
    </xf>
    <xf numFmtId="0" fontId="31" fillId="22" borderId="0" xfId="60" applyFill="1">
      <alignment/>
      <protection/>
    </xf>
    <xf numFmtId="0" fontId="66" fillId="22" borderId="0" xfId="60" applyFont="1" applyFill="1" applyAlignment="1">
      <alignment horizontal="center" vertical="top" wrapText="1"/>
      <protection/>
    </xf>
    <xf numFmtId="0" fontId="31" fillId="22" borderId="0" xfId="60" applyFill="1" applyAlignment="1">
      <alignment horizontal="center"/>
      <protection/>
    </xf>
    <xf numFmtId="185" fontId="66" fillId="22" borderId="0" xfId="60" applyNumberFormat="1" applyFont="1" applyFill="1" applyAlignment="1">
      <alignment horizontal="center"/>
      <protection/>
    </xf>
    <xf numFmtId="0" fontId="31" fillId="27" borderId="0" xfId="58" applyFont="1" applyFill="1" applyAlignment="1">
      <alignment horizontal="center"/>
      <protection/>
    </xf>
    <xf numFmtId="0" fontId="31" fillId="0" borderId="0" xfId="58" applyFill="1">
      <alignment/>
      <protection/>
    </xf>
    <xf numFmtId="0" fontId="31" fillId="27" borderId="0" xfId="62" applyFont="1" applyFill="1" applyAlignment="1">
      <alignment horizontal="center"/>
      <protection/>
    </xf>
    <xf numFmtId="49" fontId="0" fillId="4" borderId="0" xfId="0" applyNumberFormat="1" applyFont="1" applyFill="1" applyAlignment="1">
      <alignment/>
    </xf>
    <xf numFmtId="0" fontId="31" fillId="24" borderId="0" xfId="61" applyFont="1" applyFill="1" applyAlignment="1">
      <alignment horizontal="center"/>
      <protection/>
    </xf>
    <xf numFmtId="0" fontId="69" fillId="24" borderId="0" xfId="61" applyFont="1" applyFill="1" applyAlignment="1">
      <alignment horizontal="center" vertical="top" wrapText="1"/>
      <protection/>
    </xf>
    <xf numFmtId="0" fontId="70" fillId="0" borderId="0" xfId="0" applyFont="1" applyFill="1" applyAlignment="1">
      <alignment/>
    </xf>
    <xf numFmtId="0" fontId="70" fillId="27" borderId="0" xfId="0" applyFont="1" applyFill="1" applyAlignment="1">
      <alignment/>
    </xf>
    <xf numFmtId="0" fontId="58" fillId="0" borderId="0" xfId="61" applyFont="1" applyFill="1" applyAlignment="1">
      <alignment horizontal="center"/>
      <protection/>
    </xf>
    <xf numFmtId="0" fontId="58" fillId="27" borderId="0" xfId="61" applyFont="1" applyFill="1" applyAlignment="1">
      <alignment horizontal="center" vertical="top" wrapText="1"/>
      <protection/>
    </xf>
    <xf numFmtId="0" fontId="62" fillId="0" borderId="0" xfId="0" applyFont="1" applyFill="1" applyAlignment="1">
      <alignment/>
    </xf>
    <xf numFmtId="0" fontId="62" fillId="27" borderId="0" xfId="0" applyFont="1" applyFill="1" applyAlignment="1">
      <alignment/>
    </xf>
    <xf numFmtId="0" fontId="58" fillId="0" borderId="0" xfId="60" applyFont="1" applyFill="1" applyAlignment="1">
      <alignment horizontal="center"/>
      <protection/>
    </xf>
    <xf numFmtId="0" fontId="58" fillId="27" borderId="0" xfId="60" applyFont="1" applyFill="1" applyAlignment="1">
      <alignment horizontal="center" vertical="top" wrapText="1"/>
      <protection/>
    </xf>
    <xf numFmtId="43" fontId="58" fillId="27" borderId="0" xfId="42" applyFont="1" applyFill="1" applyAlignment="1">
      <alignment horizontal="center" vertical="top" wrapText="1"/>
    </xf>
    <xf numFmtId="43" fontId="58" fillId="0" borderId="0" xfId="42" applyFont="1" applyFill="1" applyAlignment="1">
      <alignment horizontal="center" vertical="top" wrapText="1"/>
    </xf>
    <xf numFmtId="0" fontId="58" fillId="22" borderId="0" xfId="60" applyFont="1" applyFill="1" applyAlignment="1">
      <alignment horizontal="center" vertical="top" wrapText="1"/>
      <protection/>
    </xf>
    <xf numFmtId="188" fontId="66" fillId="0" borderId="0" xfId="61" applyNumberFormat="1" applyFont="1" applyFill="1" applyAlignment="1">
      <alignment horizontal="center" vertical="top" wrapText="1"/>
      <protection/>
    </xf>
    <xf numFmtId="2" fontId="66" fillId="27" borderId="0" xfId="61" applyNumberFormat="1" applyFont="1" applyFill="1" applyAlignment="1">
      <alignment horizontal="center"/>
      <protection/>
    </xf>
    <xf numFmtId="0" fontId="0" fillId="27" borderId="0" xfId="0" applyFill="1" applyAlignment="1">
      <alignment horizontal="center"/>
    </xf>
    <xf numFmtId="0" fontId="0" fillId="22" borderId="0" xfId="0" applyFill="1" applyAlignment="1">
      <alignment horizontal="center"/>
    </xf>
    <xf numFmtId="0" fontId="71" fillId="22" borderId="0" xfId="0" applyFont="1" applyFill="1" applyAlignment="1">
      <alignment horizontal="center"/>
    </xf>
    <xf numFmtId="0" fontId="0" fillId="24" borderId="0" xfId="0" applyFont="1" applyFill="1" applyAlignment="1">
      <alignment horizontal="center"/>
    </xf>
    <xf numFmtId="0" fontId="70" fillId="22" borderId="0" xfId="0" applyFont="1" applyFill="1" applyAlignment="1">
      <alignment horizontal="center"/>
    </xf>
    <xf numFmtId="0" fontId="62" fillId="22" borderId="0" xfId="0" applyFont="1" applyFill="1" applyAlignment="1">
      <alignment horizontal="center"/>
    </xf>
    <xf numFmtId="0" fontId="71" fillId="0" borderId="0" xfId="0" applyFont="1" applyFill="1" applyAlignment="1">
      <alignment horizontal="center"/>
    </xf>
    <xf numFmtId="0" fontId="70" fillId="0" borderId="0" xfId="0" applyFont="1" applyFill="1" applyAlignment="1">
      <alignment horizontal="center"/>
    </xf>
    <xf numFmtId="0" fontId="62" fillId="0" borderId="0" xfId="0" applyFont="1" applyFill="1" applyAlignment="1">
      <alignment horizontal="center"/>
    </xf>
    <xf numFmtId="188" fontId="31" fillId="0" borderId="0" xfId="61" applyNumberFormat="1" applyFill="1" applyAlignment="1">
      <alignment horizontal="center"/>
      <protection/>
    </xf>
    <xf numFmtId="0" fontId="71" fillId="27" borderId="0" xfId="0" applyFont="1" applyFill="1" applyAlignment="1">
      <alignment horizontal="center"/>
    </xf>
    <xf numFmtId="0" fontId="70" fillId="27" borderId="0" xfId="0" applyFont="1" applyFill="1" applyAlignment="1">
      <alignment horizontal="center"/>
    </xf>
    <xf numFmtId="0" fontId="62" fillId="27" borderId="0" xfId="0" applyFont="1" applyFill="1" applyAlignment="1">
      <alignment horizontal="center"/>
    </xf>
    <xf numFmtId="2" fontId="66" fillId="7" borderId="0" xfId="61" applyNumberFormat="1" applyFont="1" applyFill="1" applyAlignment="1">
      <alignment horizontal="center"/>
      <protection/>
    </xf>
    <xf numFmtId="0" fontId="71" fillId="7" borderId="0" xfId="0" applyFont="1" applyFill="1" applyAlignment="1">
      <alignment horizontal="center"/>
    </xf>
    <xf numFmtId="189" fontId="66" fillId="7" borderId="0" xfId="61" applyNumberFormat="1" applyFont="1" applyFill="1" applyAlignment="1">
      <alignment horizontal="center"/>
      <protection/>
    </xf>
    <xf numFmtId="0" fontId="0" fillId="27" borderId="0" xfId="0" applyFont="1" applyFill="1" applyAlignment="1">
      <alignment horizontal="center"/>
    </xf>
    <xf numFmtId="0" fontId="0" fillId="0" borderId="0" xfId="0" applyFont="1" applyFill="1" applyAlignment="1">
      <alignment horizontal="center"/>
    </xf>
    <xf numFmtId="2" fontId="31" fillId="27" borderId="0" xfId="61" applyNumberFormat="1" applyFont="1" applyFill="1" applyAlignment="1">
      <alignment horizontal="center"/>
      <protection/>
    </xf>
    <xf numFmtId="2" fontId="31" fillId="24" borderId="0" xfId="61" applyNumberFormat="1" applyFont="1" applyFill="1" applyAlignment="1">
      <alignment horizontal="center"/>
      <protection/>
    </xf>
    <xf numFmtId="0" fontId="31" fillId="24" borderId="0" xfId="61" applyFill="1" applyAlignment="1">
      <alignment horizontal="center"/>
      <protection/>
    </xf>
    <xf numFmtId="2" fontId="31" fillId="24" borderId="0" xfId="61" applyNumberFormat="1" applyFill="1" applyAlignment="1">
      <alignment horizontal="center"/>
      <protection/>
    </xf>
    <xf numFmtId="2" fontId="66" fillId="24" borderId="0" xfId="61" applyNumberFormat="1" applyFont="1" applyFill="1" applyAlignment="1">
      <alignment horizontal="center"/>
      <protection/>
    </xf>
    <xf numFmtId="188" fontId="31" fillId="24" borderId="0" xfId="61" applyNumberFormat="1" applyFont="1" applyFill="1" applyAlignment="1">
      <alignment horizontal="center"/>
      <protection/>
    </xf>
    <xf numFmtId="189" fontId="31" fillId="24" borderId="0" xfId="61" applyNumberFormat="1" applyFont="1" applyFill="1" applyAlignment="1">
      <alignment horizontal="center"/>
      <protection/>
    </xf>
    <xf numFmtId="0" fontId="58" fillId="27" borderId="0" xfId="61" applyFont="1" applyFill="1" applyAlignment="1">
      <alignment horizontal="center"/>
      <protection/>
    </xf>
    <xf numFmtId="2" fontId="66" fillId="22" borderId="0" xfId="61" applyNumberFormat="1" applyFont="1" applyFill="1" applyAlignment="1">
      <alignment horizontal="center"/>
      <protection/>
    </xf>
    <xf numFmtId="0" fontId="0" fillId="22" borderId="0" xfId="0" applyFont="1" applyFill="1" applyAlignment="1">
      <alignment horizontal="center"/>
    </xf>
    <xf numFmtId="188" fontId="31" fillId="27" borderId="0" xfId="61" applyNumberFormat="1" applyFont="1" applyFill="1" applyAlignment="1">
      <alignment horizontal="center"/>
      <protection/>
    </xf>
    <xf numFmtId="0" fontId="67" fillId="27" borderId="0" xfId="60" applyFont="1" applyFill="1" applyAlignment="1">
      <alignment horizontal="center"/>
      <protection/>
    </xf>
    <xf numFmtId="0" fontId="67" fillId="22" borderId="0" xfId="60" applyFont="1" applyFill="1" applyAlignment="1">
      <alignment horizontal="center"/>
      <protection/>
    </xf>
    <xf numFmtId="2" fontId="67" fillId="27" borderId="0" xfId="61" applyNumberFormat="1" applyFont="1" applyFill="1" applyAlignment="1">
      <alignment horizontal="center"/>
      <protection/>
    </xf>
    <xf numFmtId="2" fontId="67" fillId="0" borderId="0" xfId="61" applyNumberFormat="1" applyFont="1" applyFill="1" applyAlignment="1">
      <alignment horizontal="center"/>
      <protection/>
    </xf>
    <xf numFmtId="185" fontId="67" fillId="27" borderId="0" xfId="61" applyNumberFormat="1" applyFont="1" applyFill="1" applyAlignment="1">
      <alignment horizontal="center"/>
      <protection/>
    </xf>
    <xf numFmtId="185" fontId="67" fillId="0" borderId="0" xfId="61" applyNumberFormat="1" applyFont="1" applyFill="1" applyAlignment="1">
      <alignment horizontal="center"/>
      <protection/>
    </xf>
    <xf numFmtId="189" fontId="67" fillId="0" borderId="0" xfId="61" applyNumberFormat="1" applyFont="1" applyFill="1" applyAlignment="1">
      <alignment horizontal="center"/>
      <protection/>
    </xf>
    <xf numFmtId="188" fontId="67" fillId="0" borderId="0" xfId="61" applyNumberFormat="1" applyFont="1" applyFill="1" applyAlignment="1">
      <alignment horizontal="center"/>
      <protection/>
    </xf>
    <xf numFmtId="188" fontId="67" fillId="27" borderId="0" xfId="61" applyNumberFormat="1" applyFont="1" applyFill="1" applyAlignment="1">
      <alignment horizontal="center"/>
      <protection/>
    </xf>
    <xf numFmtId="0" fontId="71" fillId="7" borderId="0" xfId="0" applyFont="1" applyFill="1" applyAlignment="1">
      <alignment horizontal="center" wrapText="1"/>
    </xf>
    <xf numFmtId="0" fontId="0" fillId="7" borderId="0" xfId="0" applyFill="1" applyAlignment="1">
      <alignment/>
    </xf>
    <xf numFmtId="199" fontId="0" fillId="4" borderId="0" xfId="65" applyNumberFormat="1" applyFont="1" applyFill="1" applyAlignment="1">
      <alignment horizontal="center"/>
      <protection/>
    </xf>
    <xf numFmtId="0" fontId="63" fillId="0" borderId="0" xfId="63" applyNumberFormat="1" applyFont="1" applyFill="1" applyAlignment="1" applyProtection="1">
      <alignment/>
      <protection/>
    </xf>
    <xf numFmtId="0" fontId="65" fillId="0" borderId="0" xfId="0" applyNumberFormat="1" applyFont="1" applyFill="1" applyAlignment="1" applyProtection="1">
      <alignment/>
      <protection/>
    </xf>
    <xf numFmtId="0" fontId="66" fillId="27" borderId="0" xfId="61" applyFont="1" applyFill="1" applyAlignment="1">
      <alignment horizontal="center"/>
      <protection/>
    </xf>
    <xf numFmtId="0" fontId="66" fillId="0" borderId="0" xfId="61" applyFont="1" applyAlignment="1">
      <alignment horizontal="center"/>
      <protection/>
    </xf>
    <xf numFmtId="0" fontId="31" fillId="24" borderId="0" xfId="61" applyFont="1" applyFill="1">
      <alignment/>
      <protection/>
    </xf>
    <xf numFmtId="0" fontId="31" fillId="0" borderId="0" xfId="61" applyFont="1" applyFill="1">
      <alignment/>
      <protection/>
    </xf>
    <xf numFmtId="0" fontId="31" fillId="27" borderId="0" xfId="61" applyFont="1" applyFill="1">
      <alignment/>
      <protection/>
    </xf>
    <xf numFmtId="0" fontId="72" fillId="27" borderId="0" xfId="61" applyFont="1" applyFill="1">
      <alignment/>
      <protection/>
    </xf>
    <xf numFmtId="0" fontId="72" fillId="0" borderId="0" xfId="61" applyFont="1">
      <alignment/>
      <protection/>
    </xf>
    <xf numFmtId="2" fontId="0" fillId="0" borderId="0" xfId="61" applyNumberFormat="1" applyFont="1" applyBorder="1" applyAlignment="1">
      <alignment horizontal="center" vertical="top" wrapText="1"/>
      <protection/>
    </xf>
    <xf numFmtId="2" fontId="66" fillId="7" borderId="0" xfId="61" applyNumberFormat="1" applyFont="1" applyFill="1" applyAlignment="1">
      <alignment horizontal="center"/>
      <protection/>
    </xf>
    <xf numFmtId="0" fontId="66" fillId="24" borderId="0" xfId="60" applyFont="1" applyFill="1" applyAlignment="1">
      <alignment horizontal="center"/>
      <protection/>
    </xf>
    <xf numFmtId="2" fontId="66" fillId="27" borderId="0" xfId="60" applyNumberFormat="1" applyFont="1" applyFill="1" applyAlignment="1">
      <alignment horizontal="center"/>
      <protection/>
    </xf>
    <xf numFmtId="2" fontId="66" fillId="24" borderId="0" xfId="60" applyNumberFormat="1" applyFont="1" applyFill="1" applyAlignment="1">
      <alignment horizontal="center"/>
      <protection/>
    </xf>
    <xf numFmtId="2" fontId="66" fillId="22" borderId="0" xfId="60" applyNumberFormat="1" applyFont="1" applyFill="1" applyAlignment="1">
      <alignment horizontal="center"/>
      <protection/>
    </xf>
    <xf numFmtId="0" fontId="66" fillId="27" borderId="0" xfId="60" applyFont="1" applyFill="1" applyAlignment="1">
      <alignment horizontal="center"/>
      <protection/>
    </xf>
    <xf numFmtId="188" fontId="66" fillId="24" borderId="0" xfId="60" applyNumberFormat="1" applyFont="1" applyFill="1" applyAlignment="1">
      <alignment horizontal="center"/>
      <protection/>
    </xf>
    <xf numFmtId="189" fontId="66" fillId="24" borderId="0" xfId="60" applyNumberFormat="1" applyFont="1" applyFill="1" applyAlignment="1">
      <alignment horizontal="center"/>
      <protection/>
    </xf>
    <xf numFmtId="189" fontId="66" fillId="27" borderId="0" xfId="60" applyNumberFormat="1" applyFont="1" applyFill="1" applyAlignment="1">
      <alignment horizontal="center"/>
      <protection/>
    </xf>
    <xf numFmtId="0" fontId="71" fillId="24" borderId="0" xfId="0" applyFont="1" applyFill="1" applyAlignment="1">
      <alignment horizontal="center"/>
    </xf>
    <xf numFmtId="0" fontId="71" fillId="27" borderId="0" xfId="0" applyFont="1" applyFill="1" applyAlignment="1">
      <alignment horizontal="center"/>
    </xf>
    <xf numFmtId="0" fontId="31" fillId="0" borderId="0" xfId="59" applyFont="1" applyFill="1" applyAlignment="1">
      <alignment horizontal="center"/>
      <protection/>
    </xf>
    <xf numFmtId="0" fontId="31" fillId="27" borderId="0" xfId="59" applyFont="1" applyFill="1" applyAlignment="1">
      <alignment horizontal="center"/>
      <protection/>
    </xf>
    <xf numFmtId="185" fontId="31" fillId="0" borderId="0" xfId="61" applyNumberFormat="1" applyFill="1" applyAlignment="1">
      <alignment horizontal="center"/>
      <protection/>
    </xf>
    <xf numFmtId="2" fontId="31" fillId="0" borderId="0" xfId="60" applyNumberFormat="1" applyFill="1">
      <alignment/>
      <protection/>
    </xf>
    <xf numFmtId="188" fontId="31" fillId="0" borderId="0" xfId="60" applyNumberFormat="1" applyFont="1" applyFill="1">
      <alignment/>
      <protection/>
    </xf>
    <xf numFmtId="185" fontId="31" fillId="0" borderId="0" xfId="60" applyNumberFormat="1" applyFill="1">
      <alignment/>
      <protection/>
    </xf>
    <xf numFmtId="0" fontId="47" fillId="24" borderId="0" xfId="63" applyNumberFormat="1" applyFont="1" applyFill="1" applyBorder="1" applyAlignment="1" applyProtection="1">
      <alignment horizontal="center" shrinkToFit="1"/>
      <protection hidden="1" locked="0"/>
    </xf>
    <xf numFmtId="176" fontId="47" fillId="24" borderId="0" xfId="63" applyNumberFormat="1" applyFont="1" applyFill="1" applyBorder="1" applyAlignment="1" applyProtection="1">
      <alignment/>
      <protection locked="0"/>
    </xf>
    <xf numFmtId="0" fontId="14" fillId="24" borderId="0" xfId="0" applyNumberFormat="1" applyFont="1" applyFill="1" applyBorder="1" applyAlignment="1" applyProtection="1">
      <alignment/>
      <protection/>
    </xf>
    <xf numFmtId="172" fontId="47" fillId="24" borderId="0" xfId="63" applyNumberFormat="1" applyFont="1" applyFill="1" applyBorder="1" applyAlignment="1" applyProtection="1">
      <alignment/>
      <protection locked="0"/>
    </xf>
    <xf numFmtId="172" fontId="47" fillId="23" borderId="0" xfId="63" applyNumberFormat="1" applyFont="1" applyFill="1" applyBorder="1" applyAlignment="1" applyProtection="1">
      <alignment/>
      <protection/>
    </xf>
    <xf numFmtId="172" fontId="47" fillId="23" borderId="0" xfId="63" applyNumberFormat="1" applyFont="1" applyFill="1" applyBorder="1" applyAlignment="1" applyProtection="1">
      <alignment/>
      <protection hidden="1"/>
    </xf>
    <xf numFmtId="176" fontId="47" fillId="23" borderId="0" xfId="0" applyNumberFormat="1" applyFont="1" applyFill="1" applyBorder="1" applyAlignment="1" applyProtection="1">
      <alignment/>
      <protection/>
    </xf>
    <xf numFmtId="0" fontId="71" fillId="7" borderId="0" xfId="0" applyFont="1" applyFill="1" applyAlignment="1">
      <alignment/>
    </xf>
    <xf numFmtId="0" fontId="66" fillId="7" borderId="0" xfId="60" applyFont="1" applyFill="1" applyAlignment="1">
      <alignment horizontal="center" vertical="top" wrapText="1"/>
      <protection/>
    </xf>
    <xf numFmtId="0" fontId="71" fillId="7" borderId="0" xfId="0" applyFont="1" applyFill="1" applyAlignment="1">
      <alignment/>
    </xf>
    <xf numFmtId="0" fontId="71" fillId="27" borderId="0" xfId="0" applyFont="1" applyFill="1" applyAlignment="1">
      <alignment/>
    </xf>
    <xf numFmtId="2" fontId="31" fillId="27" borderId="0" xfId="60" applyNumberFormat="1" applyFont="1" applyFill="1" applyAlignment="1">
      <alignment horizontal="center"/>
      <protection/>
    </xf>
    <xf numFmtId="188" fontId="31" fillId="24" borderId="0" xfId="60" applyNumberFormat="1" applyFont="1" applyFill="1" applyAlignment="1">
      <alignment horizontal="center"/>
      <protection/>
    </xf>
    <xf numFmtId="2" fontId="31" fillId="24" borderId="0" xfId="60" applyNumberFormat="1" applyFont="1" applyFill="1" applyAlignment="1">
      <alignment horizontal="center"/>
      <protection/>
    </xf>
    <xf numFmtId="189" fontId="31" fillId="24" borderId="0" xfId="60" applyNumberFormat="1" applyFont="1" applyFill="1" applyAlignment="1">
      <alignment horizontal="center"/>
      <protection/>
    </xf>
    <xf numFmtId="0" fontId="51" fillId="0" borderId="12" xfId="0" applyFont="1" applyBorder="1" applyAlignment="1">
      <alignment vertical="center" wrapText="1"/>
    </xf>
    <xf numFmtId="0" fontId="51" fillId="0" borderId="0" xfId="0" applyFont="1" applyBorder="1" applyAlignment="1">
      <alignment vertical="center" wrapText="1"/>
    </xf>
    <xf numFmtId="186" fontId="11" fillId="0" borderId="17" xfId="63" applyNumberFormat="1" applyFont="1" applyBorder="1" applyAlignment="1" applyProtection="1">
      <alignment horizontal="center" vertical="center"/>
      <protection/>
    </xf>
    <xf numFmtId="186" fontId="11" fillId="0" borderId="19" xfId="63" applyNumberFormat="1" applyFont="1" applyBorder="1" applyAlignment="1" applyProtection="1">
      <alignment horizontal="center" vertical="center"/>
      <protection/>
    </xf>
    <xf numFmtId="0" fontId="11" fillId="0" borderId="17" xfId="0" applyNumberFormat="1" applyFont="1" applyBorder="1" applyAlignment="1" applyProtection="1">
      <alignment horizontal="left" vertical="center"/>
      <protection/>
    </xf>
    <xf numFmtId="0" fontId="11" fillId="0" borderId="19" xfId="0" applyNumberFormat="1" applyFont="1" applyBorder="1" applyAlignment="1" applyProtection="1">
      <alignment horizontal="left" vertical="center"/>
      <protection/>
    </xf>
    <xf numFmtId="0" fontId="13" fillId="0" borderId="20" xfId="0" applyNumberFormat="1" applyFont="1" applyBorder="1" applyAlignment="1" applyProtection="1">
      <alignment horizontal="left" vertical="center" wrapText="1"/>
      <protection/>
    </xf>
    <xf numFmtId="0" fontId="13" fillId="0" borderId="21" xfId="0" applyNumberFormat="1" applyFont="1" applyBorder="1" applyAlignment="1" applyProtection="1">
      <alignment horizontal="left" vertical="center" wrapText="1"/>
      <protection/>
    </xf>
    <xf numFmtId="0" fontId="13" fillId="0" borderId="22" xfId="0" applyNumberFormat="1" applyFont="1" applyBorder="1" applyAlignment="1" applyProtection="1">
      <alignment horizontal="left" vertical="center" wrapText="1"/>
      <protection/>
    </xf>
    <xf numFmtId="0" fontId="11" fillId="0" borderId="20" xfId="0" applyNumberFormat="1" applyFont="1" applyFill="1" applyBorder="1" applyAlignment="1" applyProtection="1">
      <alignment shrinkToFit="1"/>
      <protection locked="0"/>
    </xf>
    <xf numFmtId="0" fontId="23" fillId="0" borderId="21" xfId="0" applyNumberFormat="1" applyFont="1" applyFill="1" applyBorder="1" applyAlignment="1" applyProtection="1">
      <alignment shrinkToFit="1"/>
      <protection locked="0"/>
    </xf>
    <xf numFmtId="0" fontId="11" fillId="0" borderId="21" xfId="0" applyNumberFormat="1" applyFont="1" applyFill="1" applyBorder="1" applyAlignment="1" applyProtection="1">
      <alignment shrinkToFit="1"/>
      <protection locked="0"/>
    </xf>
    <xf numFmtId="0" fontId="11" fillId="0" borderId="20" xfId="0" applyNumberFormat="1" applyFont="1" applyFill="1" applyBorder="1" applyAlignment="1" applyProtection="1">
      <alignment/>
      <protection locked="0"/>
    </xf>
    <xf numFmtId="0" fontId="11" fillId="0" borderId="21" xfId="0" applyNumberFormat="1" applyFont="1" applyFill="1" applyBorder="1" applyAlignment="1" applyProtection="1">
      <alignment/>
      <protection locked="0"/>
    </xf>
    <xf numFmtId="0" fontId="11" fillId="0" borderId="22" xfId="0" applyNumberFormat="1" applyFont="1" applyFill="1" applyBorder="1" applyAlignment="1" applyProtection="1">
      <alignment/>
      <protection locked="0"/>
    </xf>
    <xf numFmtId="0" fontId="11" fillId="0" borderId="22" xfId="0" applyNumberFormat="1" applyFont="1" applyFill="1" applyBorder="1" applyAlignment="1" applyProtection="1">
      <alignment shrinkToFit="1"/>
      <protection locked="0"/>
    </xf>
    <xf numFmtId="0" fontId="23" fillId="0" borderId="20" xfId="0" applyNumberFormat="1" applyFont="1" applyFill="1" applyBorder="1" applyAlignment="1" applyProtection="1">
      <alignment/>
      <protection locked="0"/>
    </xf>
    <xf numFmtId="0" fontId="23" fillId="0" borderId="21" xfId="0" applyNumberFormat="1" applyFont="1" applyFill="1" applyBorder="1" applyAlignment="1" applyProtection="1">
      <alignment/>
      <protection locked="0"/>
    </xf>
    <xf numFmtId="0" fontId="8" fillId="0" borderId="0" xfId="0" applyFont="1" applyBorder="1" applyAlignment="1">
      <alignment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0" fillId="0" borderId="23" xfId="63" applyNumberFormat="1" applyFont="1" applyFill="1" applyBorder="1" applyAlignment="1" applyProtection="1">
      <alignment horizontal="center"/>
      <protection/>
    </xf>
    <xf numFmtId="0" fontId="14"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23" xfId="63" applyNumberFormat="1" applyFont="1" applyBorder="1" applyAlignment="1" applyProtection="1">
      <alignment horizontal="center"/>
      <protection/>
    </xf>
    <xf numFmtId="0" fontId="6" fillId="0" borderId="23" xfId="0" applyFont="1" applyBorder="1" applyAlignment="1">
      <alignment horizontal="center" vertical="center" wrapText="1"/>
    </xf>
    <xf numFmtId="206" fontId="57" fillId="22" borderId="20" xfId="63" applyNumberFormat="1" applyFont="1" applyFill="1" applyBorder="1" applyAlignment="1" applyProtection="1">
      <alignment horizontal="center"/>
      <protection/>
    </xf>
    <xf numFmtId="206" fontId="57" fillId="22" borderId="22" xfId="63" applyNumberFormat="1" applyFont="1" applyFill="1" applyBorder="1" applyAlignment="1" applyProtection="1">
      <alignment horizontal="center"/>
      <protection/>
    </xf>
    <xf numFmtId="0" fontId="57" fillId="22" borderId="10" xfId="0" applyFont="1" applyFill="1" applyBorder="1" applyAlignment="1">
      <alignment horizontal="center" vertical="center" wrapText="1"/>
    </xf>
    <xf numFmtId="0" fontId="57" fillId="22" borderId="16" xfId="0" applyFont="1" applyFill="1" applyBorder="1" applyAlignment="1">
      <alignment horizontal="center" vertical="center" wrapText="1"/>
    </xf>
    <xf numFmtId="0" fontId="57" fillId="22" borderId="12" xfId="0" applyFont="1" applyFill="1" applyBorder="1" applyAlignment="1">
      <alignment horizontal="center" vertical="center" wrapText="1"/>
    </xf>
    <xf numFmtId="0" fontId="57" fillId="22" borderId="13" xfId="0" applyFont="1" applyFill="1" applyBorder="1" applyAlignment="1">
      <alignment horizontal="center" vertical="center" wrapText="1"/>
    </xf>
    <xf numFmtId="0" fontId="57" fillId="22" borderId="14" xfId="0" applyFont="1" applyFill="1" applyBorder="1" applyAlignment="1">
      <alignment horizontal="center" vertical="center" wrapText="1"/>
    </xf>
    <xf numFmtId="0" fontId="57" fillId="22" borderId="24" xfId="0" applyFont="1" applyFill="1" applyBorder="1" applyAlignment="1">
      <alignment horizontal="center" vertical="center" wrapText="1"/>
    </xf>
    <xf numFmtId="0" fontId="59" fillId="4" borderId="15" xfId="63" applyNumberFormat="1" applyFont="1" applyFill="1" applyBorder="1" applyAlignment="1" applyProtection="1">
      <alignment/>
      <protection/>
    </xf>
    <xf numFmtId="0" fontId="18" fillId="22" borderId="23" xfId="0" applyFont="1" applyFill="1" applyBorder="1" applyAlignment="1">
      <alignment horizontal="center" vertical="center" wrapText="1"/>
    </xf>
    <xf numFmtId="191" fontId="18" fillId="0" borderId="14" xfId="63" applyNumberFormat="1" applyFont="1" applyBorder="1" applyAlignment="1" applyProtection="1">
      <alignment horizontal="center"/>
      <protection/>
    </xf>
    <xf numFmtId="191" fontId="18" fillId="0" borderId="24" xfId="63" applyNumberFormat="1" applyFont="1" applyBorder="1" applyAlignment="1" applyProtection="1">
      <alignment horizontal="center"/>
      <protection/>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196" fontId="18" fillId="0" borderId="0" xfId="63" applyNumberFormat="1" applyFont="1" applyBorder="1" applyAlignment="1" applyProtection="1">
      <alignment horizontal="center"/>
      <protection/>
    </xf>
    <xf numFmtId="196" fontId="18" fillId="0" borderId="13" xfId="63" applyNumberFormat="1" applyFont="1" applyBorder="1" applyAlignment="1" applyProtection="1">
      <alignment horizontal="center"/>
      <protection/>
    </xf>
    <xf numFmtId="0" fontId="17" fillId="0" borderId="0" xfId="0" applyFont="1" applyBorder="1" applyAlignment="1">
      <alignment vertical="center" wrapText="1"/>
    </xf>
    <xf numFmtId="191" fontId="18" fillId="0" borderId="12" xfId="63" applyNumberFormat="1" applyFont="1" applyBorder="1" applyAlignment="1" applyProtection="1">
      <alignment horizontal="center"/>
      <protection/>
    </xf>
    <xf numFmtId="191" fontId="18" fillId="0" borderId="13" xfId="63" applyNumberFormat="1" applyFont="1" applyBorder="1" applyAlignment="1" applyProtection="1">
      <alignment horizontal="center"/>
      <protection/>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0"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2" xfId="0" applyFont="1" applyBorder="1" applyAlignment="1">
      <alignment horizontal="center" vertical="center" wrapText="1"/>
    </xf>
    <xf numFmtId="197" fontId="18" fillId="0" borderId="0" xfId="63" applyNumberFormat="1" applyFont="1" applyBorder="1" applyAlignment="1" applyProtection="1">
      <alignment horizontal="center"/>
      <protection/>
    </xf>
    <xf numFmtId="197" fontId="18" fillId="0" borderId="13" xfId="63" applyNumberFormat="1" applyFont="1" applyBorder="1" applyAlignment="1" applyProtection="1">
      <alignment horizontal="center"/>
      <protection/>
    </xf>
    <xf numFmtId="191" fontId="18" fillId="0" borderId="15" xfId="63" applyNumberFormat="1" applyFont="1" applyBorder="1" applyAlignment="1" applyProtection="1">
      <alignment horizontal="center"/>
      <protection/>
    </xf>
    <xf numFmtId="0" fontId="18" fillId="0" borderId="0" xfId="0" applyFont="1" applyAlignment="1">
      <alignment horizontal="center" vertical="center" wrapText="1"/>
    </xf>
    <xf numFmtId="0" fontId="17" fillId="0" borderId="0" xfId="0" applyFont="1" applyAlignment="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Field recov" xfId="58"/>
    <cellStyle name="Normal_Field recov_1" xfId="59"/>
    <cellStyle name="Normal_Indiv results Appl" xfId="60"/>
    <cellStyle name="Normal_Indiv results ML" xfId="61"/>
    <cellStyle name="Normal_Individual results" xfId="62"/>
    <cellStyle name="Normal_Knapsack model" xfId="63"/>
    <cellStyle name="Normal_RD Appl" xfId="64"/>
    <cellStyle name="Normal_RD ML" xfId="65"/>
    <cellStyle name="Normal_Rechnungen" xfId="66"/>
    <cellStyle name="Note" xfId="67"/>
    <cellStyle name="Output" xfId="68"/>
    <cellStyle name="Percent" xfId="69"/>
    <cellStyle name="Title" xfId="70"/>
    <cellStyle name="Total" xfId="71"/>
    <cellStyle name="Warning Text" xfId="72"/>
  </cellStyles>
  <dxfs count="124">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dxf>
    <dxf>
      <font>
        <color indexed="9"/>
      </font>
    </dxf>
    <dxf>
      <font>
        <color indexed="12"/>
      </font>
    </dxf>
    <dxf>
      <font>
        <color indexed="9"/>
      </font>
    </dxf>
    <dxf>
      <font>
        <color indexed="10"/>
      </font>
    </dxf>
    <dxf>
      <font>
        <color indexed="9"/>
      </font>
    </dxf>
    <dxf>
      <font>
        <color indexed="12"/>
      </font>
      <fill>
        <patternFill>
          <bgColor indexed="45"/>
        </patternFill>
      </fill>
    </dxf>
    <dxf/>
    <dxf>
      <font>
        <color indexed="12"/>
      </font>
      <fill>
        <patternFill>
          <bgColor indexed="45"/>
        </patternFill>
      </fill>
    </dxf>
    <dxf/>
    <dxf>
      <font>
        <color indexed="12"/>
      </font>
      <fill>
        <patternFill>
          <bgColor indexed="45"/>
        </patternFill>
      </fill>
    </dxf>
    <dxf/>
    <dxf>
      <font>
        <color indexed="12"/>
      </font>
      <fill>
        <patternFill>
          <bgColor indexed="45"/>
        </patternFill>
      </fill>
    </dxf>
    <dxf/>
    <dxf>
      <font>
        <color indexed="16"/>
      </font>
    </dxf>
    <dxf/>
    <dxf>
      <font>
        <color indexed="16"/>
      </font>
    </dxf>
    <dxf/>
    <dxf>
      <font>
        <color indexed="16"/>
      </font>
    </dxf>
    <dxf/>
    <dxf>
      <font>
        <color indexed="10"/>
      </font>
    </dxf>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4.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6</xdr:col>
      <xdr:colOff>0</xdr:colOff>
      <xdr:row>18</xdr:row>
      <xdr:rowOff>0</xdr:rowOff>
    </xdr:to>
    <xdr:pic>
      <xdr:nvPicPr>
        <xdr:cNvPr id="1" name="CommandButton1"/>
        <xdr:cNvPicPr preferRelativeResize="1">
          <a:picLocks noChangeAspect="1"/>
        </xdr:cNvPicPr>
      </xdr:nvPicPr>
      <xdr:blipFill>
        <a:blip r:embed="rId1"/>
        <a:stretch>
          <a:fillRect/>
        </a:stretch>
      </xdr:blipFill>
      <xdr:spPr>
        <a:xfrm>
          <a:off x="5591175" y="3419475"/>
          <a:ext cx="714375" cy="600075"/>
        </a:xfrm>
        <a:prstGeom prst="rect">
          <a:avLst/>
        </a:prstGeom>
        <a:noFill/>
        <a:ln w="9525" cmpd="sng">
          <a:noFill/>
        </a:ln>
      </xdr:spPr>
    </xdr:pic>
    <xdr:clientData fPrintsWithSheet="0"/>
  </xdr:twoCellAnchor>
  <xdr:twoCellAnchor>
    <xdr:from>
      <xdr:col>5</xdr:col>
      <xdr:colOff>0</xdr:colOff>
      <xdr:row>19</xdr:row>
      <xdr:rowOff>0</xdr:rowOff>
    </xdr:from>
    <xdr:to>
      <xdr:col>6</xdr:col>
      <xdr:colOff>0</xdr:colOff>
      <xdr:row>22</xdr:row>
      <xdr:rowOff>0</xdr:rowOff>
    </xdr:to>
    <xdr:pic>
      <xdr:nvPicPr>
        <xdr:cNvPr id="2" name="CommandButton2"/>
        <xdr:cNvPicPr preferRelativeResize="1">
          <a:picLocks noChangeAspect="1"/>
        </xdr:cNvPicPr>
      </xdr:nvPicPr>
      <xdr:blipFill>
        <a:blip r:embed="rId2"/>
        <a:stretch>
          <a:fillRect/>
        </a:stretch>
      </xdr:blipFill>
      <xdr:spPr>
        <a:xfrm>
          <a:off x="5591175" y="4219575"/>
          <a:ext cx="714375" cy="600075"/>
        </a:xfrm>
        <a:prstGeom prst="rect">
          <a:avLst/>
        </a:prstGeom>
        <a:noFill/>
        <a:ln w="9525" cmpd="sng">
          <a:noFill/>
        </a:ln>
      </xdr:spPr>
    </xdr:pic>
    <xdr:clientData fPrintsWithSheet="0"/>
  </xdr:twoCellAnchor>
  <xdr:twoCellAnchor>
    <xdr:from>
      <xdr:col>5</xdr:col>
      <xdr:colOff>0</xdr:colOff>
      <xdr:row>5</xdr:row>
      <xdr:rowOff>0</xdr:rowOff>
    </xdr:from>
    <xdr:to>
      <xdr:col>6</xdr:col>
      <xdr:colOff>0</xdr:colOff>
      <xdr:row>7</xdr:row>
      <xdr:rowOff>0</xdr:rowOff>
    </xdr:to>
    <xdr:pic>
      <xdr:nvPicPr>
        <xdr:cNvPr id="3" name="CommandButton3"/>
        <xdr:cNvPicPr preferRelativeResize="1">
          <a:picLocks noChangeAspect="1"/>
        </xdr:cNvPicPr>
      </xdr:nvPicPr>
      <xdr:blipFill>
        <a:blip r:embed="rId3"/>
        <a:stretch>
          <a:fillRect/>
        </a:stretch>
      </xdr:blipFill>
      <xdr:spPr>
        <a:xfrm>
          <a:off x="5591175" y="1200150"/>
          <a:ext cx="714375" cy="400050"/>
        </a:xfrm>
        <a:prstGeom prst="rect">
          <a:avLst/>
        </a:prstGeom>
        <a:noFill/>
        <a:ln w="9525" cmpd="sng">
          <a:noFill/>
        </a:ln>
      </xdr:spPr>
    </xdr:pic>
    <xdr:clientData fPrintsWithSheet="0"/>
  </xdr:twoCellAnchor>
  <xdr:twoCellAnchor>
    <xdr:from>
      <xdr:col>5</xdr:col>
      <xdr:colOff>0</xdr:colOff>
      <xdr:row>8</xdr:row>
      <xdr:rowOff>0</xdr:rowOff>
    </xdr:from>
    <xdr:to>
      <xdr:col>6</xdr:col>
      <xdr:colOff>0</xdr:colOff>
      <xdr:row>10</xdr:row>
      <xdr:rowOff>0</xdr:rowOff>
    </xdr:to>
    <xdr:pic>
      <xdr:nvPicPr>
        <xdr:cNvPr id="4" name="CommandButton4"/>
        <xdr:cNvPicPr preferRelativeResize="1">
          <a:picLocks noChangeAspect="1"/>
        </xdr:cNvPicPr>
      </xdr:nvPicPr>
      <xdr:blipFill>
        <a:blip r:embed="rId4"/>
        <a:stretch>
          <a:fillRect/>
        </a:stretch>
      </xdr:blipFill>
      <xdr:spPr>
        <a:xfrm>
          <a:off x="5591175" y="1800225"/>
          <a:ext cx="714375" cy="4000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2.vml" /><Relationship Id="rId3"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 Id="rId3"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outlinePr summaryRight="0"/>
  </sheetPr>
  <dimension ref="A1:P100"/>
  <sheetViews>
    <sheetView showGridLines="0" tabSelected="1" zoomScale="75" zoomScaleNormal="75" zoomScalePageLayoutView="0" workbookViewId="0" topLeftCell="A1">
      <selection activeCell="B3" sqref="B3"/>
    </sheetView>
  </sheetViews>
  <sheetFormatPr defaultColWidth="11.421875" defaultRowHeight="12.75"/>
  <cols>
    <col min="1" max="1" width="24.7109375" style="40" customWidth="1"/>
    <col min="2" max="2" width="14.421875" style="40" customWidth="1"/>
    <col min="3" max="3" width="14.8515625" style="40" customWidth="1"/>
    <col min="4" max="4" width="16.140625" style="40" customWidth="1"/>
    <col min="5" max="5" width="13.7109375" style="40" customWidth="1"/>
    <col min="6" max="6" width="10.7109375" style="40" customWidth="1"/>
    <col min="7" max="7" width="6.00390625" style="40" customWidth="1"/>
    <col min="8" max="8" width="86.7109375" style="40" bestFit="1" customWidth="1"/>
    <col min="9" max="13" width="11.421875" style="40" customWidth="1"/>
    <col min="14" max="15" width="11.421875" style="120" customWidth="1"/>
    <col min="16" max="16" width="15.00390625" style="120" customWidth="1"/>
    <col min="17" max="16384" width="11.421875" style="120" customWidth="1"/>
  </cols>
  <sheetData>
    <row r="1" spans="1:7" ht="25.5" customHeight="1">
      <c r="A1" s="487" t="s">
        <v>345</v>
      </c>
      <c r="B1" s="488"/>
      <c r="C1" s="489"/>
      <c r="D1" s="488"/>
      <c r="E1" s="490" t="s">
        <v>618</v>
      </c>
      <c r="F1" s="491"/>
      <c r="G1" s="491"/>
    </row>
    <row r="2" spans="1:7" ht="18.75">
      <c r="A2" s="141"/>
      <c r="B2" s="142"/>
      <c r="C2" s="142"/>
      <c r="D2" s="79"/>
      <c r="E2" s="79"/>
      <c r="F2" s="79"/>
      <c r="G2" s="80"/>
    </row>
    <row r="3" spans="1:15" ht="18.75">
      <c r="A3" s="146" t="s">
        <v>6</v>
      </c>
      <c r="B3" s="106" t="s">
        <v>89</v>
      </c>
      <c r="C3" s="147"/>
      <c r="D3" s="134" t="s">
        <v>293</v>
      </c>
      <c r="E3" s="82"/>
      <c r="F3" s="82"/>
      <c r="G3" s="83"/>
      <c r="O3" s="121" t="s">
        <v>309</v>
      </c>
    </row>
    <row r="4" spans="1:15" ht="15.75">
      <c r="A4" s="81" t="s">
        <v>5</v>
      </c>
      <c r="B4" s="107" t="s">
        <v>48</v>
      </c>
      <c r="C4" s="82"/>
      <c r="D4" s="82"/>
      <c r="E4" s="82"/>
      <c r="F4" s="82"/>
      <c r="G4" s="83"/>
      <c r="O4" s="121" t="s">
        <v>299</v>
      </c>
    </row>
    <row r="5" spans="1:7" ht="15.75">
      <c r="A5" s="81" t="s">
        <v>78</v>
      </c>
      <c r="B5" s="108">
        <v>70</v>
      </c>
      <c r="C5" s="82"/>
      <c r="D5" s="84"/>
      <c r="E5" s="85"/>
      <c r="F5" s="85"/>
      <c r="G5" s="83"/>
    </row>
    <row r="6" spans="1:13" ht="15.75">
      <c r="A6" s="81" t="s">
        <v>8</v>
      </c>
      <c r="B6" s="109" t="s">
        <v>65</v>
      </c>
      <c r="C6" s="635" t="s">
        <v>66</v>
      </c>
      <c r="D6" s="635" t="s">
        <v>67</v>
      </c>
      <c r="E6" s="635" t="s">
        <v>68</v>
      </c>
      <c r="F6" s="152"/>
      <c r="G6" s="83"/>
      <c r="M6" s="120"/>
    </row>
    <row r="7" spans="1:7" ht="15.75">
      <c r="A7" s="81" t="s">
        <v>9</v>
      </c>
      <c r="B7" s="110">
        <v>100</v>
      </c>
      <c r="C7" s="636">
        <v>0</v>
      </c>
      <c r="D7" s="636">
        <v>0</v>
      </c>
      <c r="E7" s="636">
        <v>0</v>
      </c>
      <c r="F7" s="148"/>
      <c r="G7" s="83"/>
    </row>
    <row r="8" spans="1:7" ht="15.75">
      <c r="A8" s="81" t="s">
        <v>53</v>
      </c>
      <c r="B8" s="110">
        <v>100</v>
      </c>
      <c r="C8" s="636">
        <v>0</v>
      </c>
      <c r="D8" s="636">
        <v>0</v>
      </c>
      <c r="E8" s="636">
        <v>0</v>
      </c>
      <c r="F8" s="148"/>
      <c r="G8" s="83"/>
    </row>
    <row r="9" spans="1:7" ht="15.75">
      <c r="A9" s="81" t="s">
        <v>52</v>
      </c>
      <c r="B9" s="82"/>
      <c r="C9" s="637"/>
      <c r="D9" s="637"/>
      <c r="E9" s="637"/>
      <c r="F9" s="148"/>
      <c r="G9" s="83"/>
    </row>
    <row r="10" spans="1:7" ht="15.75">
      <c r="A10" s="86" t="s">
        <v>76</v>
      </c>
      <c r="B10" s="105">
        <v>100</v>
      </c>
      <c r="C10" s="638">
        <v>0</v>
      </c>
      <c r="D10" s="638">
        <v>0</v>
      </c>
      <c r="E10" s="638">
        <v>0</v>
      </c>
      <c r="F10" s="148"/>
      <c r="G10" s="83"/>
    </row>
    <row r="11" spans="1:7" ht="15.75">
      <c r="A11" s="86" t="s">
        <v>77</v>
      </c>
      <c r="B11" s="105">
        <v>10</v>
      </c>
      <c r="C11" s="638">
        <v>0</v>
      </c>
      <c r="D11" s="638">
        <v>0</v>
      </c>
      <c r="E11" s="638">
        <v>0</v>
      </c>
      <c r="F11" s="148"/>
      <c r="G11" s="83"/>
    </row>
    <row r="12" spans="1:7" ht="15.75">
      <c r="A12" s="146" t="s">
        <v>21</v>
      </c>
      <c r="B12" s="105">
        <v>0.1</v>
      </c>
      <c r="C12" s="638">
        <v>0</v>
      </c>
      <c r="D12" s="638">
        <v>0</v>
      </c>
      <c r="E12" s="638">
        <v>0</v>
      </c>
      <c r="F12" s="148"/>
      <c r="G12" s="83"/>
    </row>
    <row r="13" spans="1:7" ht="15.75">
      <c r="A13" s="149"/>
      <c r="B13" s="143"/>
      <c r="C13" s="150"/>
      <c r="D13" s="150"/>
      <c r="E13" s="150"/>
      <c r="F13" s="151"/>
      <c r="G13" s="144"/>
    </row>
    <row r="14" spans="1:16" ht="15.75">
      <c r="A14" s="145" t="s">
        <v>340</v>
      </c>
      <c r="B14" s="659" t="s">
        <v>98</v>
      </c>
      <c r="C14" s="660"/>
      <c r="D14" s="660"/>
      <c r="E14" s="660"/>
      <c r="F14" s="661"/>
      <c r="G14" s="153"/>
      <c r="H14" s="279" t="str">
        <f>CONCATENATE(B14,D23)</f>
        <v>High crop, standardCoverall</v>
      </c>
      <c r="P14" s="78" t="s">
        <v>106</v>
      </c>
    </row>
    <row r="15" spans="1:16" ht="33" customHeight="1">
      <c r="A15" s="195" t="s">
        <v>344</v>
      </c>
      <c r="B15" s="196">
        <v>0</v>
      </c>
      <c r="C15" s="639"/>
      <c r="D15" s="639"/>
      <c r="E15" s="639"/>
      <c r="F15" s="89"/>
      <c r="G15" s="154"/>
      <c r="P15" s="78" t="s">
        <v>100</v>
      </c>
    </row>
    <row r="16" spans="1:16" ht="15.75">
      <c r="A16" s="87" t="s">
        <v>10</v>
      </c>
      <c r="B16" s="88">
        <f>B7*$B$15/1000</f>
        <v>0</v>
      </c>
      <c r="C16" s="640">
        <f>C7*$B$15/1000</f>
        <v>0</v>
      </c>
      <c r="D16" s="640">
        <f>D7*$B$15/1000</f>
        <v>0</v>
      </c>
      <c r="E16" s="640">
        <f>E7*$B$15/1000</f>
        <v>0</v>
      </c>
      <c r="F16" s="90"/>
      <c r="G16" s="154"/>
      <c r="H16" s="41"/>
      <c r="N16" s="42"/>
      <c r="P16" s="45" t="str">
        <f>IF(OR(B14="Low crop, standard",B14="High crop, standard"),"T-shirt + shorts","")</f>
        <v>T-shirt + shorts</v>
      </c>
    </row>
    <row r="17" spans="1:8" ht="15.75">
      <c r="A17" s="87" t="s">
        <v>7</v>
      </c>
      <c r="B17" s="183">
        <v>1</v>
      </c>
      <c r="C17" s="641"/>
      <c r="D17" s="641"/>
      <c r="E17" s="641"/>
      <c r="F17" s="89"/>
      <c r="G17" s="154"/>
      <c r="H17" s="279" t="s">
        <v>391</v>
      </c>
    </row>
    <row r="18" spans="1:8" ht="15.75">
      <c r="A18" s="87"/>
      <c r="B18" s="91"/>
      <c r="C18" s="89" t="s">
        <v>12</v>
      </c>
      <c r="D18" s="127"/>
      <c r="E18" s="123"/>
      <c r="F18" s="90"/>
      <c r="G18" s="154"/>
      <c r="H18" s="279" t="s">
        <v>392</v>
      </c>
    </row>
    <row r="19" spans="1:8" ht="15.75">
      <c r="A19" s="87" t="s">
        <v>11</v>
      </c>
      <c r="B19" s="89"/>
      <c r="C19" s="89" t="s">
        <v>71</v>
      </c>
      <c r="D19" s="111" t="s">
        <v>3</v>
      </c>
      <c r="E19" s="90"/>
      <c r="F19" s="90"/>
      <c r="G19" s="154"/>
      <c r="H19" s="279" t="s">
        <v>393</v>
      </c>
    </row>
    <row r="20" spans="1:8" ht="15.75">
      <c r="A20" s="87" t="s">
        <v>69</v>
      </c>
      <c r="B20" s="111" t="s">
        <v>3</v>
      </c>
      <c r="C20" s="89" t="s">
        <v>72</v>
      </c>
      <c r="D20" s="112" t="s">
        <v>3</v>
      </c>
      <c r="E20" s="89"/>
      <c r="F20" s="89"/>
      <c r="G20" s="154"/>
      <c r="H20" s="279" t="s">
        <v>382</v>
      </c>
    </row>
    <row r="21" spans="1:8" ht="15.75">
      <c r="A21" s="87" t="s">
        <v>70</v>
      </c>
      <c r="B21" s="112" t="s">
        <v>3</v>
      </c>
      <c r="C21" s="89" t="s">
        <v>73</v>
      </c>
      <c r="D21" s="111" t="s">
        <v>3</v>
      </c>
      <c r="E21" s="89"/>
      <c r="F21" s="89"/>
      <c r="G21" s="155"/>
      <c r="H21" s="166" t="s">
        <v>333</v>
      </c>
    </row>
    <row r="22" spans="1:8" ht="15.75">
      <c r="A22" s="87"/>
      <c r="B22" s="89"/>
      <c r="C22" s="89"/>
      <c r="D22" s="89"/>
      <c r="E22" s="89"/>
      <c r="F22" s="89"/>
      <c r="G22" s="155"/>
      <c r="H22" s="3" t="s">
        <v>380</v>
      </c>
    </row>
    <row r="23" spans="1:8" ht="15.75">
      <c r="A23" s="159"/>
      <c r="B23" s="127"/>
      <c r="C23" s="160" t="s">
        <v>74</v>
      </c>
      <c r="D23" s="662" t="s">
        <v>106</v>
      </c>
      <c r="E23" s="663"/>
      <c r="F23" s="664"/>
      <c r="G23" s="155"/>
      <c r="H23" s="182" t="s">
        <v>364</v>
      </c>
    </row>
    <row r="24" spans="1:7" ht="15.75" customHeight="1" hidden="1">
      <c r="A24" s="158"/>
      <c r="B24" s="124"/>
      <c r="C24" s="124"/>
      <c r="D24" s="157"/>
      <c r="E24" s="157"/>
      <c r="F24" s="157"/>
      <c r="G24" s="156"/>
    </row>
    <row r="25" spans="1:16" ht="15.75" customHeight="1" hidden="1">
      <c r="A25" s="145" t="s">
        <v>341</v>
      </c>
      <c r="B25" s="659" t="s">
        <v>98</v>
      </c>
      <c r="C25" s="661"/>
      <c r="D25" s="661"/>
      <c r="E25" s="661"/>
      <c r="F25" s="665"/>
      <c r="G25" s="122"/>
      <c r="H25" s="279" t="str">
        <f>CONCATENATE(B25,D34)</f>
        <v>High crop, standardCoverall</v>
      </c>
      <c r="P25" s="78" t="s">
        <v>106</v>
      </c>
    </row>
    <row r="26" spans="1:16" ht="31.5" customHeight="1" hidden="1">
      <c r="A26" s="195" t="s">
        <v>344</v>
      </c>
      <c r="B26" s="196">
        <v>0</v>
      </c>
      <c r="C26" s="639"/>
      <c r="D26" s="639"/>
      <c r="E26" s="639"/>
      <c r="F26" s="163"/>
      <c r="G26" s="154"/>
      <c r="P26" s="78" t="s">
        <v>100</v>
      </c>
    </row>
    <row r="27" spans="1:16" ht="15.75" customHeight="1" hidden="1">
      <c r="A27" s="87" t="s">
        <v>10</v>
      </c>
      <c r="B27" s="91">
        <f>B7*$B$26/1000</f>
        <v>0</v>
      </c>
      <c r="C27" s="639">
        <f>C7*$B$26/1000</f>
        <v>0</v>
      </c>
      <c r="D27" s="639">
        <f>D7*$B$26/1000</f>
        <v>0</v>
      </c>
      <c r="E27" s="639">
        <f>E7*$B$26/1000</f>
        <v>0</v>
      </c>
      <c r="F27" s="90"/>
      <c r="G27" s="154"/>
      <c r="P27" s="45" t="str">
        <f>IF(OR(B25="Low crop, standard",B25="High crop, standard"),"T-shirt + shorts","")</f>
        <v>T-shirt + shorts</v>
      </c>
    </row>
    <row r="28" spans="1:8" ht="15.75" customHeight="1" hidden="1">
      <c r="A28" s="87" t="s">
        <v>7</v>
      </c>
      <c r="B28" s="181">
        <v>1</v>
      </c>
      <c r="C28" s="641"/>
      <c r="D28" s="641"/>
      <c r="E28" s="641"/>
      <c r="F28" s="89"/>
      <c r="G28" s="154"/>
      <c r="H28" s="279" t="s">
        <v>391</v>
      </c>
    </row>
    <row r="29" spans="1:8" ht="15.75" customHeight="1" hidden="1">
      <c r="A29" s="87"/>
      <c r="B29" s="91"/>
      <c r="C29" s="92" t="s">
        <v>12</v>
      </c>
      <c r="D29" s="126"/>
      <c r="E29" s="125"/>
      <c r="F29" s="90"/>
      <c r="G29" s="154"/>
      <c r="H29" s="279" t="s">
        <v>392</v>
      </c>
    </row>
    <row r="30" spans="1:8" ht="15.75" customHeight="1" hidden="1">
      <c r="A30" s="87" t="s">
        <v>11</v>
      </c>
      <c r="B30" s="89"/>
      <c r="C30" s="89" t="s">
        <v>71</v>
      </c>
      <c r="D30" s="112" t="s">
        <v>3</v>
      </c>
      <c r="E30" s="93"/>
      <c r="F30" s="90"/>
      <c r="G30" s="154"/>
      <c r="H30" s="279" t="s">
        <v>393</v>
      </c>
    </row>
    <row r="31" spans="1:8" ht="15.75" customHeight="1" hidden="1">
      <c r="A31" s="87" t="s">
        <v>69</v>
      </c>
      <c r="B31" s="111" t="s">
        <v>3</v>
      </c>
      <c r="C31" s="89" t="s">
        <v>72</v>
      </c>
      <c r="D31" s="112" t="s">
        <v>3</v>
      </c>
      <c r="E31" s="92"/>
      <c r="F31" s="89"/>
      <c r="G31" s="154"/>
      <c r="H31" s="279" t="s">
        <v>382</v>
      </c>
    </row>
    <row r="32" spans="1:8" ht="15.75" customHeight="1" hidden="1">
      <c r="A32" s="87" t="s">
        <v>70</v>
      </c>
      <c r="B32" s="112" t="s">
        <v>3</v>
      </c>
      <c r="C32" s="94" t="s">
        <v>73</v>
      </c>
      <c r="D32" s="112" t="s">
        <v>3</v>
      </c>
      <c r="E32" s="92"/>
      <c r="F32" s="89"/>
      <c r="G32" s="155"/>
      <c r="H32" s="166" t="s">
        <v>310</v>
      </c>
    </row>
    <row r="33" spans="1:8" ht="15.75" customHeight="1" hidden="1">
      <c r="A33" s="87"/>
      <c r="B33" s="89"/>
      <c r="C33" s="92"/>
      <c r="D33" s="92"/>
      <c r="E33" s="92"/>
      <c r="F33" s="164"/>
      <c r="G33" s="155"/>
      <c r="H33" s="3" t="s">
        <v>380</v>
      </c>
    </row>
    <row r="34" spans="1:8" ht="15.75" customHeight="1" hidden="1">
      <c r="A34" s="159"/>
      <c r="B34" s="127"/>
      <c r="C34" s="160" t="s">
        <v>74</v>
      </c>
      <c r="D34" s="666" t="s">
        <v>106</v>
      </c>
      <c r="E34" s="667"/>
      <c r="F34" s="664"/>
      <c r="G34" s="155"/>
      <c r="H34" s="182" t="s">
        <v>364</v>
      </c>
    </row>
    <row r="35" spans="1:7" ht="15.75" customHeight="1" hidden="1">
      <c r="A35" s="158"/>
      <c r="B35" s="124"/>
      <c r="C35" s="124"/>
      <c r="D35" s="161"/>
      <c r="E35" s="161"/>
      <c r="F35" s="157"/>
      <c r="G35" s="156"/>
    </row>
    <row r="36" spans="1:16" ht="15.75" customHeight="1" hidden="1">
      <c r="A36" s="145" t="s">
        <v>342</v>
      </c>
      <c r="B36" s="659" t="s">
        <v>98</v>
      </c>
      <c r="C36" s="660"/>
      <c r="D36" s="660"/>
      <c r="E36" s="660"/>
      <c r="F36" s="665"/>
      <c r="G36" s="122"/>
      <c r="H36" s="279" t="str">
        <f>CONCATENATE(B36,D45)</f>
        <v>High crop, standardCoverall</v>
      </c>
      <c r="P36" s="78" t="s">
        <v>106</v>
      </c>
    </row>
    <row r="37" spans="1:16" ht="31.5" customHeight="1" hidden="1">
      <c r="A37" s="195" t="s">
        <v>344</v>
      </c>
      <c r="B37" s="196">
        <v>0</v>
      </c>
      <c r="C37" s="639"/>
      <c r="D37" s="639"/>
      <c r="E37" s="639"/>
      <c r="F37" s="163"/>
      <c r="G37" s="154"/>
      <c r="P37" s="78" t="s">
        <v>100</v>
      </c>
    </row>
    <row r="38" spans="1:16" ht="15.75" customHeight="1" hidden="1">
      <c r="A38" s="87" t="s">
        <v>10</v>
      </c>
      <c r="B38" s="91">
        <f>B7*$B$37/1000</f>
        <v>0</v>
      </c>
      <c r="C38" s="639">
        <f>C7*$B$37/1000</f>
        <v>0</v>
      </c>
      <c r="D38" s="639">
        <f>D7*$B$37/1000</f>
        <v>0</v>
      </c>
      <c r="E38" s="639">
        <f>E7*$B$37/1000</f>
        <v>0</v>
      </c>
      <c r="F38" s="90"/>
      <c r="G38" s="154"/>
      <c r="P38" s="45" t="str">
        <f>IF(OR(B36="Low crop, standard",B36="High crop, standard"),"T-shirt + shorts","")</f>
        <v>T-shirt + shorts</v>
      </c>
    </row>
    <row r="39" spans="1:8" ht="15.75" customHeight="1" hidden="1">
      <c r="A39" s="87" t="s">
        <v>7</v>
      </c>
      <c r="B39" s="181">
        <v>1</v>
      </c>
      <c r="C39" s="641"/>
      <c r="D39" s="641"/>
      <c r="E39" s="641"/>
      <c r="F39" s="89"/>
      <c r="G39" s="154"/>
      <c r="H39" s="279" t="s">
        <v>391</v>
      </c>
    </row>
    <row r="40" spans="1:8" ht="15.75" customHeight="1" hidden="1">
      <c r="A40" s="87"/>
      <c r="B40" s="91"/>
      <c r="C40" s="89" t="s">
        <v>12</v>
      </c>
      <c r="D40" s="127"/>
      <c r="E40" s="123"/>
      <c r="F40" s="90"/>
      <c r="G40" s="154"/>
      <c r="H40" s="279" t="s">
        <v>392</v>
      </c>
    </row>
    <row r="41" spans="1:8" ht="15.75" customHeight="1" hidden="1">
      <c r="A41" s="87" t="s">
        <v>11</v>
      </c>
      <c r="B41" s="89"/>
      <c r="C41" s="89" t="s">
        <v>71</v>
      </c>
      <c r="D41" s="111" t="s">
        <v>3</v>
      </c>
      <c r="E41" s="90"/>
      <c r="F41" s="90"/>
      <c r="G41" s="154"/>
      <c r="H41" s="279" t="s">
        <v>393</v>
      </c>
    </row>
    <row r="42" spans="1:8" ht="15.75" customHeight="1" hidden="1">
      <c r="A42" s="87" t="s">
        <v>69</v>
      </c>
      <c r="B42" s="111" t="s">
        <v>3</v>
      </c>
      <c r="C42" s="89" t="s">
        <v>72</v>
      </c>
      <c r="D42" s="112" t="s">
        <v>3</v>
      </c>
      <c r="E42" s="89"/>
      <c r="F42" s="89"/>
      <c r="G42" s="154"/>
      <c r="H42" s="279" t="s">
        <v>382</v>
      </c>
    </row>
    <row r="43" spans="1:8" ht="15.75" customHeight="1" hidden="1">
      <c r="A43" s="87" t="s">
        <v>70</v>
      </c>
      <c r="B43" s="112" t="s">
        <v>3</v>
      </c>
      <c r="C43" s="89" t="s">
        <v>73</v>
      </c>
      <c r="D43" s="111" t="s">
        <v>3</v>
      </c>
      <c r="E43" s="89"/>
      <c r="F43" s="89"/>
      <c r="G43" s="155"/>
      <c r="H43" s="166" t="s">
        <v>310</v>
      </c>
    </row>
    <row r="44" spans="1:8" ht="15.75" customHeight="1" hidden="1">
      <c r="A44" s="87"/>
      <c r="B44" s="89"/>
      <c r="C44" s="90"/>
      <c r="D44" s="90"/>
      <c r="E44" s="89"/>
      <c r="F44" s="164"/>
      <c r="G44" s="155"/>
      <c r="H44" s="3" t="s">
        <v>380</v>
      </c>
    </row>
    <row r="45" spans="1:8" ht="15.75" customHeight="1" hidden="1">
      <c r="A45" s="159"/>
      <c r="B45" s="127"/>
      <c r="C45" s="160" t="s">
        <v>74</v>
      </c>
      <c r="D45" s="662" t="s">
        <v>106</v>
      </c>
      <c r="E45" s="663"/>
      <c r="F45" s="664"/>
      <c r="G45" s="155"/>
      <c r="H45" s="182" t="s">
        <v>364</v>
      </c>
    </row>
    <row r="46" spans="1:7" ht="15.75" customHeight="1" hidden="1">
      <c r="A46" s="158"/>
      <c r="B46" s="124"/>
      <c r="C46" s="124"/>
      <c r="D46" s="157"/>
      <c r="E46" s="157"/>
      <c r="F46" s="157"/>
      <c r="G46" s="156"/>
    </row>
    <row r="47" spans="1:16" ht="15.75" customHeight="1" hidden="1">
      <c r="A47" s="145" t="s">
        <v>343</v>
      </c>
      <c r="B47" s="659" t="s">
        <v>98</v>
      </c>
      <c r="C47" s="661"/>
      <c r="D47" s="661"/>
      <c r="E47" s="661"/>
      <c r="F47" s="665"/>
      <c r="G47" s="122"/>
      <c r="H47" s="279" t="str">
        <f>CONCATENATE(B47,D56)</f>
        <v>High crop, standardCoverall</v>
      </c>
      <c r="P47" s="78" t="s">
        <v>106</v>
      </c>
    </row>
    <row r="48" spans="1:16" ht="31.5" customHeight="1" hidden="1">
      <c r="A48" s="195" t="s">
        <v>344</v>
      </c>
      <c r="B48" s="196">
        <v>0</v>
      </c>
      <c r="C48" s="639"/>
      <c r="D48" s="639"/>
      <c r="E48" s="639"/>
      <c r="F48" s="163"/>
      <c r="G48" s="154"/>
      <c r="P48" s="78" t="s">
        <v>100</v>
      </c>
    </row>
    <row r="49" spans="1:16" ht="15.75" customHeight="1" hidden="1">
      <c r="A49" s="87" t="s">
        <v>10</v>
      </c>
      <c r="B49" s="91">
        <f>B7*B48/1000</f>
        <v>0</v>
      </c>
      <c r="C49" s="639">
        <f>C7*$B$48/1000</f>
        <v>0</v>
      </c>
      <c r="D49" s="639">
        <f>D7*$B$48/1000</f>
        <v>0</v>
      </c>
      <c r="E49" s="639">
        <f>E7*$B$48/1000</f>
        <v>0</v>
      </c>
      <c r="F49" s="90"/>
      <c r="G49" s="154"/>
      <c r="P49" s="45" t="str">
        <f>IF(OR(B47="Low crop, standard",B47="High crop, standard"),"T-shirt + shorts","")</f>
        <v>T-shirt + shorts</v>
      </c>
    </row>
    <row r="50" spans="1:8" ht="15.75" customHeight="1" hidden="1">
      <c r="A50" s="87" t="s">
        <v>7</v>
      </c>
      <c r="B50" s="181">
        <v>1</v>
      </c>
      <c r="C50" s="641"/>
      <c r="D50" s="641"/>
      <c r="E50" s="641"/>
      <c r="F50" s="89"/>
      <c r="G50" s="154"/>
      <c r="H50" s="279" t="s">
        <v>391</v>
      </c>
    </row>
    <row r="51" spans="1:8" ht="15.75" customHeight="1" hidden="1">
      <c r="A51" s="87"/>
      <c r="B51" s="91"/>
      <c r="C51" s="89" t="s">
        <v>12</v>
      </c>
      <c r="D51" s="127"/>
      <c r="E51" s="123"/>
      <c r="F51" s="90"/>
      <c r="G51" s="154"/>
      <c r="H51" s="279" t="s">
        <v>392</v>
      </c>
    </row>
    <row r="52" spans="1:8" ht="15.75" customHeight="1" hidden="1">
      <c r="A52" s="87" t="s">
        <v>11</v>
      </c>
      <c r="B52" s="89"/>
      <c r="C52" s="89" t="s">
        <v>71</v>
      </c>
      <c r="D52" s="111" t="s">
        <v>3</v>
      </c>
      <c r="E52" s="90"/>
      <c r="F52" s="90"/>
      <c r="G52" s="154"/>
      <c r="H52" s="279" t="s">
        <v>393</v>
      </c>
    </row>
    <row r="53" spans="1:8" ht="15.75" customHeight="1" hidden="1">
      <c r="A53" s="87" t="s">
        <v>69</v>
      </c>
      <c r="B53" s="111" t="s">
        <v>3</v>
      </c>
      <c r="C53" s="89" t="s">
        <v>72</v>
      </c>
      <c r="D53" s="112" t="s">
        <v>3</v>
      </c>
      <c r="E53" s="89"/>
      <c r="F53" s="89"/>
      <c r="G53" s="154"/>
      <c r="H53" s="279" t="s">
        <v>382</v>
      </c>
    </row>
    <row r="54" spans="1:8" ht="15.75" customHeight="1" hidden="1">
      <c r="A54" s="87" t="s">
        <v>70</v>
      </c>
      <c r="B54" s="112" t="s">
        <v>3</v>
      </c>
      <c r="C54" s="89" t="s">
        <v>73</v>
      </c>
      <c r="D54" s="112" t="s">
        <v>3</v>
      </c>
      <c r="E54" s="92"/>
      <c r="F54" s="92"/>
      <c r="G54" s="155"/>
      <c r="H54" s="166" t="s">
        <v>310</v>
      </c>
    </row>
    <row r="55" spans="1:8" ht="15.75" customHeight="1" hidden="1">
      <c r="A55" s="87"/>
      <c r="B55" s="92"/>
      <c r="C55" s="90"/>
      <c r="D55" s="90"/>
      <c r="E55" s="92"/>
      <c r="F55" s="165"/>
      <c r="G55" s="155"/>
      <c r="H55" s="3" t="s">
        <v>380</v>
      </c>
    </row>
    <row r="56" spans="1:8" ht="15.75" customHeight="1" hidden="1">
      <c r="A56" s="159"/>
      <c r="B56" s="127"/>
      <c r="C56" s="160" t="s">
        <v>74</v>
      </c>
      <c r="D56" s="662" t="s">
        <v>106</v>
      </c>
      <c r="E56" s="663"/>
      <c r="F56" s="664"/>
      <c r="G56" s="155"/>
      <c r="H56" s="182" t="s">
        <v>364</v>
      </c>
    </row>
    <row r="57" spans="1:7" ht="15.75">
      <c r="A57" s="158"/>
      <c r="B57" s="124"/>
      <c r="C57" s="124"/>
      <c r="D57" s="124"/>
      <c r="E57" s="124"/>
      <c r="F57" s="164"/>
      <c r="G57" s="156"/>
    </row>
    <row r="58" spans="1:7" ht="15.75">
      <c r="A58" s="608"/>
      <c r="B58" s="609"/>
      <c r="C58" s="609"/>
      <c r="D58" s="609"/>
      <c r="E58" s="609"/>
      <c r="F58" s="609"/>
      <c r="G58" s="609"/>
    </row>
    <row r="59" spans="1:5" ht="18.75">
      <c r="A59" s="39" t="s">
        <v>75</v>
      </c>
      <c r="B59" s="8"/>
      <c r="C59" s="8"/>
      <c r="D59" s="8"/>
      <c r="E59" s="8"/>
    </row>
    <row r="60" ht="15.75">
      <c r="A60" s="128" t="s">
        <v>339</v>
      </c>
    </row>
    <row r="61" ht="15.75">
      <c r="A61" s="129" t="str">
        <f>D3</f>
        <v>75th percentile</v>
      </c>
    </row>
    <row r="62" spans="1:6" ht="57">
      <c r="A62" s="130" t="s">
        <v>55</v>
      </c>
      <c r="B62" s="130" t="s">
        <v>300</v>
      </c>
      <c r="C62" s="130" t="s">
        <v>90</v>
      </c>
      <c r="D62" s="130" t="s">
        <v>91</v>
      </c>
      <c r="E62" s="130" t="s">
        <v>23</v>
      </c>
      <c r="F62" s="120"/>
    </row>
    <row r="63" spans="1:6" ht="24.75" customHeight="1">
      <c r="A63" s="656" t="str">
        <f>B14</f>
        <v>High crop, standard</v>
      </c>
      <c r="B63" s="657"/>
      <c r="C63" s="657"/>
      <c r="D63" s="657"/>
      <c r="E63" s="658"/>
      <c r="F63" s="131"/>
    </row>
    <row r="64" spans="1:8" ht="15" customHeight="1">
      <c r="A64" s="654" t="str">
        <f>$B$6</f>
        <v>Substance 1</v>
      </c>
      <c r="B64" s="132" t="s">
        <v>3</v>
      </c>
      <c r="C64" s="76">
        <f>IF(OR(ISTEXT('Subst. 1 scenario 1'!$E$31),'Subst. 1 scenario 1'!$E$31=0),"",IF(D23="T-shirt + shorts","",'Subst. 1 scenario 1'!$E$31))</f>
      </c>
      <c r="D64" s="652">
        <f>IF($B$12=0,"",$B$12)</f>
        <v>0.1</v>
      </c>
      <c r="E64" s="172">
        <f>IF(OR(ISTEXT(C64),C64=0),"",C64*100/D64)</f>
      </c>
      <c r="F64" s="650" t="s">
        <v>607</v>
      </c>
      <c r="G64" s="651"/>
      <c r="H64" s="651"/>
    </row>
    <row r="65" spans="1:8" ht="15.75">
      <c r="A65" s="655"/>
      <c r="B65" s="132" t="s">
        <v>22</v>
      </c>
      <c r="C65" s="194">
        <f>IF(AND($B$14="High crop, intensive contact with treated crop",OR($D$20="None",$D$23="Coverall")),"",IF(AND($B$20="None",$B$21="None",$D$19="None",$D$20="None",$D$21="None",$D$23="Coverall"),"",IF(D23="T-shirt + shorts","",'Subst. 1 scenario 1'!$G$31)))</f>
      </c>
      <c r="D65" s="653"/>
      <c r="E65" s="172">
        <f>IF(OR(ISTEXT(C65),C65=0),"",C65*100/D64)</f>
      </c>
      <c r="F65" s="650"/>
      <c r="G65" s="651"/>
      <c r="H65" s="651"/>
    </row>
    <row r="66" spans="1:6" ht="15.75" hidden="1">
      <c r="A66" s="654" t="str">
        <f>$C$6</f>
        <v>Substance 2</v>
      </c>
      <c r="B66" s="132" t="s">
        <v>3</v>
      </c>
      <c r="C66" s="76">
        <f>IF(OR(ISTEXT('Subst. 2 scenario 1'!$E$31),'Subst. 2 scenario 1'!$E$31=0),"",IF(D23="T-shirt + shorts","",'Subst. 2 scenario 1'!$E$31))</f>
      </c>
      <c r="D66" s="652">
        <f>IF($C$12=0,"",$C$12)</f>
      </c>
      <c r="E66" s="172">
        <f>IF(OR(ISTEXT(C66),C66=0),"",C66*100/D66)</f>
      </c>
      <c r="F66" s="120"/>
    </row>
    <row r="67" spans="1:6" ht="15.75" hidden="1">
      <c r="A67" s="655"/>
      <c r="B67" s="132" t="s">
        <v>22</v>
      </c>
      <c r="C67" s="194">
        <f>IF(AND($B$14="High crop, intensive contact with treated crop",OR($D$20="None",$D$23="Coverall")),"",IF(AND($B$20="None",$B$21="None",$D$19="None",$D$20="None",$D$21="None",$D$23="Coverall"),"",'Subst. 2 scenario 1'!$G$31))</f>
      </c>
      <c r="D67" s="653"/>
      <c r="E67" s="172">
        <f>IF(OR(ISTEXT(C67),C67=0),"",C67*100/D66)</f>
      </c>
      <c r="F67" s="120"/>
    </row>
    <row r="68" spans="1:6" ht="15.75" hidden="1">
      <c r="A68" s="654" t="str">
        <f>$D$6</f>
        <v>Substance 3</v>
      </c>
      <c r="B68" s="132" t="s">
        <v>3</v>
      </c>
      <c r="C68" s="76">
        <f>IF(OR(ISTEXT('Subst. 3 scenario 1'!$E$31),'Subst. 3 scenario 1'!$E$31=0),"",IF(D23="T-shirt + shorts","",'Subst. 3 scenario 1'!$E$31))</f>
      </c>
      <c r="D68" s="652">
        <f>IF($D$12=0,"",$D$12)</f>
      </c>
      <c r="E68" s="172">
        <f>IF(OR(ISTEXT(C68),C68=0),"",C68*100/D68)</f>
      </c>
      <c r="F68" s="120"/>
    </row>
    <row r="69" spans="1:6" ht="15.75" hidden="1">
      <c r="A69" s="655"/>
      <c r="B69" s="132" t="s">
        <v>22</v>
      </c>
      <c r="C69" s="194">
        <f>IF(AND($B$14="High crop, intensive contact with treated crop",OR($D$20="None",$D$23="Coverall")),"",IF(AND($B$20="None",$B$21="None",$D$19="None",$D$20="None",$D$21="None",$D$23="Coverall"),"",'Subst. 3 scenario 1'!$G$31))</f>
      </c>
      <c r="D69" s="653"/>
      <c r="E69" s="172">
        <f>IF(OR(ISTEXT(C69),C69=0),"",C69*100/D68)</f>
      </c>
      <c r="F69" s="120"/>
    </row>
    <row r="70" spans="1:7" ht="15.75" hidden="1">
      <c r="A70" s="654" t="str">
        <f>$E$6</f>
        <v>Substance 4</v>
      </c>
      <c r="B70" s="132" t="s">
        <v>3</v>
      </c>
      <c r="C70" s="76">
        <f>IF(OR(ISTEXT('Subst. 4 scenario 1'!$E$31),'Subst. 4 scenario 1'!$E$31=0),"",IF(D23="T-shirt + shorts","",'Subst. 4 scenario 1'!$E$31))</f>
      </c>
      <c r="D70" s="652">
        <f>IF($E$12=0,"",$E$12)</f>
      </c>
      <c r="E70" s="172">
        <f>IF(OR(ISTEXT(C70),C70=0),"",C70*100/D70)</f>
      </c>
      <c r="F70" s="43"/>
      <c r="G70" s="9"/>
    </row>
    <row r="71" spans="1:7" ht="15.75" hidden="1">
      <c r="A71" s="655"/>
      <c r="B71" s="132" t="s">
        <v>22</v>
      </c>
      <c r="C71" s="194">
        <f>IF(AND($B$14="High crop, intensive contact with treated crop",OR($D$20="None",$D$23="Coverall")),"",IF(AND($B$20="None",$B$21="None",$D$19="None",$D$20="None",$D$21="None",$D$23="Coverall"),"",'Subst. 4 scenario 1'!$G$31))</f>
      </c>
      <c r="D71" s="653"/>
      <c r="E71" s="172">
        <f>IF(OR(ISTEXT(C71),C71=0),"",C71*100/D70)</f>
      </c>
      <c r="F71" s="43"/>
      <c r="G71" s="9"/>
    </row>
    <row r="72" spans="1:5" ht="24.75" customHeight="1" hidden="1">
      <c r="A72" s="656" t="str">
        <f>B25</f>
        <v>High crop, standard</v>
      </c>
      <c r="B72" s="657"/>
      <c r="C72" s="657"/>
      <c r="D72" s="657"/>
      <c r="E72" s="658"/>
    </row>
    <row r="73" spans="1:8" ht="15.75" hidden="1">
      <c r="A73" s="654" t="str">
        <f>$B$6</f>
        <v>Substance 1</v>
      </c>
      <c r="B73" s="132" t="s">
        <v>3</v>
      </c>
      <c r="C73" s="76">
        <f>IF(OR(ISTEXT('Subst. 1 scenario 2'!$E$31),'Subst. 1 scenario 2'!$E$31=0),"",'Subst. 1 scenario 2'!$E$31)</f>
      </c>
      <c r="D73" s="652">
        <f>IF($B$12=0,"",$B$12)</f>
        <v>0.1</v>
      </c>
      <c r="E73" s="172">
        <f>IF(OR(ISTEXT(C73),C73=0),"",C73*100/D73)</f>
      </c>
      <c r="F73" s="650" t="s">
        <v>608</v>
      </c>
      <c r="G73" s="651"/>
      <c r="H73" s="651"/>
    </row>
    <row r="74" spans="1:8" ht="15.75" hidden="1">
      <c r="A74" s="655"/>
      <c r="B74" s="132" t="s">
        <v>22</v>
      </c>
      <c r="C74" s="194">
        <f>IF(AND($B$25="High crop, intensive contact with treated crop",OR($D$31="None",$D$34="Coverall")),"",IF(AND($B$31="None",$B$32="None",$D$30="None",$D$31="None",$D$32="None",$D$34="Coverall"),"",'Subst. 1 scenario 2'!$G$31))</f>
      </c>
      <c r="D74" s="653"/>
      <c r="E74" s="172">
        <f>IF(OR(ISTEXT(C74),C74=0),"",C74*100/D73)</f>
      </c>
      <c r="F74" s="650"/>
      <c r="G74" s="651"/>
      <c r="H74" s="651"/>
    </row>
    <row r="75" spans="1:5" ht="15.75" hidden="1">
      <c r="A75" s="654" t="str">
        <f>$C$6</f>
        <v>Substance 2</v>
      </c>
      <c r="B75" s="132" t="s">
        <v>3</v>
      </c>
      <c r="C75" s="76">
        <f>IF(OR(ISTEXT('Subst. 2 scenario 2'!$E$31),'Subst. 2 scenario 2'!$E$31=0),"",'Subst. 2 scenario 2'!$E$31)</f>
      </c>
      <c r="D75" s="652">
        <f>IF($C$12=0,"",$C$12)</f>
      </c>
      <c r="E75" s="172">
        <f>IF(OR(ISTEXT(C75),C75=0),"",C75*100/D75)</f>
      </c>
    </row>
    <row r="76" spans="1:5" ht="15.75" hidden="1">
      <c r="A76" s="655"/>
      <c r="B76" s="132" t="s">
        <v>22</v>
      </c>
      <c r="C76" s="194">
        <f>IF(AND($B$25="High crop, intensive contact with treated crop",OR($D$31="None",$D$34="Coverall")),"",IF(AND($B$31="None",$B$32="None",$D$30="None",$D$31="None",$D$32="None",$D$34="Coverall"),"",'Subst. 2 scenario 2'!$G$31))</f>
      </c>
      <c r="D76" s="653"/>
      <c r="E76" s="172">
        <f>IF(OR(ISTEXT(C76),C76=0),"",C76*100/D75)</f>
      </c>
    </row>
    <row r="77" spans="1:5" ht="15.75" hidden="1">
      <c r="A77" s="654" t="str">
        <f>$D$6</f>
        <v>Substance 3</v>
      </c>
      <c r="B77" s="132" t="s">
        <v>3</v>
      </c>
      <c r="C77" s="76">
        <f>IF(OR(ISTEXT('Subst. 3 scenario 2'!$E$31),'Subst. 3 scenario 2'!$E$31=0),"",'Subst. 3 scenario 2'!$E$31)</f>
      </c>
      <c r="D77" s="652">
        <f>IF($D$12=0,"",$D$12)</f>
      </c>
      <c r="E77" s="172">
        <f>IF(OR(ISTEXT(C77),C77=0),"",C77*100/D77)</f>
      </c>
    </row>
    <row r="78" spans="1:6" ht="15.75" hidden="1">
      <c r="A78" s="655"/>
      <c r="B78" s="132" t="s">
        <v>22</v>
      </c>
      <c r="C78" s="194">
        <f>IF(AND($B$25="High crop, intensive contact with treated crop",OR($D$31="None",$D$34="Coverall")),"",IF(AND($B$31="None",$B$32="None",$D$30="None",$D$31="None",$D$32="None",$D$34="Coverall"),"",'Subst. 3 scenario 2'!$G$31))</f>
      </c>
      <c r="D78" s="653"/>
      <c r="E78" s="172">
        <f>IF(OR(ISTEXT(C78),C78=0),"",C78*100/D77)</f>
      </c>
      <c r="F78" s="133"/>
    </row>
    <row r="79" spans="1:5" ht="15.75" hidden="1">
      <c r="A79" s="654" t="str">
        <f>$E$6</f>
        <v>Substance 4</v>
      </c>
      <c r="B79" s="132" t="s">
        <v>3</v>
      </c>
      <c r="C79" s="76">
        <f>IF(OR(ISTEXT('Subst. 4 scenario 2'!$E$31),'Subst. 4 scenario 2'!$E$31=0),"",'Subst. 4 scenario 2'!$E$31)</f>
      </c>
      <c r="D79" s="652">
        <f>IF($E$12=0,"",$E$12)</f>
      </c>
      <c r="E79" s="172">
        <f>IF(OR(ISTEXT(C79),C79=0),"",C79*100/D79)</f>
      </c>
    </row>
    <row r="80" spans="1:5" ht="15.75" hidden="1">
      <c r="A80" s="655"/>
      <c r="B80" s="132" t="s">
        <v>22</v>
      </c>
      <c r="C80" s="194">
        <f>IF(AND($B$25="High crop, intensive contact with treated crop",OR($D$31="None",$D$34="Coverall")),"",IF(AND($B$31="None",$B$32="None",$D$30="None",$D$31="None",$D$32="None",$D$34="Coverall"),"",'Subst. 4 scenario 2'!$G$31))</f>
      </c>
      <c r="D80" s="653"/>
      <c r="E80" s="172">
        <f>IF(OR(ISTEXT(C80),C80=0),"",C80*100/D79)</f>
      </c>
    </row>
    <row r="81" spans="1:5" ht="24.75" customHeight="1" hidden="1">
      <c r="A81" s="656" t="str">
        <f>B36</f>
        <v>High crop, standard</v>
      </c>
      <c r="B81" s="657"/>
      <c r="C81" s="657"/>
      <c r="D81" s="657"/>
      <c r="E81" s="658"/>
    </row>
    <row r="82" spans="1:8" ht="15.75" hidden="1">
      <c r="A82" s="654" t="str">
        <f>$B$6</f>
        <v>Substance 1</v>
      </c>
      <c r="B82" s="132" t="s">
        <v>3</v>
      </c>
      <c r="C82" s="76">
        <f>IF(OR(ISTEXT('Subst. 1 scenario 3'!$E$31),'Subst. 1 scenario 3'!$E$31=0),"",'Subst. 1 scenario 3'!$E$31)</f>
      </c>
      <c r="D82" s="652">
        <f>IF($B$12=0,"",$B$12)</f>
        <v>0.1</v>
      </c>
      <c r="E82" s="172">
        <f>IF(OR(ISTEXT(C82),C82=0),"",C82*100/D82)</f>
      </c>
      <c r="F82" s="650" t="s">
        <v>609</v>
      </c>
      <c r="G82" s="651"/>
      <c r="H82" s="651"/>
    </row>
    <row r="83" spans="1:8" ht="15.75" hidden="1">
      <c r="A83" s="655"/>
      <c r="B83" s="132" t="s">
        <v>22</v>
      </c>
      <c r="C83" s="194">
        <f>IF(AND($B$36="High crop, intensive contact with treated crop",OR($D$42="None",$D$45="Coverall")),"",IF(AND($B$42="None",$B$43="None",$D$41="None",$D$42="None",$D$43="None",$D$45="Coverall"),"",'Subst. 1 scenario 3'!$G$31))</f>
      </c>
      <c r="D83" s="653"/>
      <c r="E83" s="172">
        <f>IF(OR(ISTEXT(C83),C83=0),"",C83*100/D82)</f>
      </c>
      <c r="F83" s="650"/>
      <c r="G83" s="651"/>
      <c r="H83" s="651"/>
    </row>
    <row r="84" spans="1:5" ht="15.75" hidden="1">
      <c r="A84" s="654" t="str">
        <f>$C$6</f>
        <v>Substance 2</v>
      </c>
      <c r="B84" s="132" t="s">
        <v>3</v>
      </c>
      <c r="C84" s="76">
        <f>IF(OR(ISTEXT('Subst. 2 scenario 3'!$E$31),'Subst. 2 scenario 3'!$E$31=0),"",'Subst. 2 scenario 3'!$E$31)</f>
      </c>
      <c r="D84" s="652">
        <f>IF($C$12=0,"",$C$12)</f>
      </c>
      <c r="E84" s="172">
        <f>IF(OR(ISTEXT(C84),C84=0),"",C84*100/D84)</f>
      </c>
    </row>
    <row r="85" spans="1:5" ht="15.75" hidden="1">
      <c r="A85" s="655"/>
      <c r="B85" s="132" t="s">
        <v>22</v>
      </c>
      <c r="C85" s="194">
        <f>IF(AND($B$36="High crop, intensive contact with treated crop",OR($D$42="None",$D$45="Coverall")),"",IF(AND($B$42="None",$B$43="None",$D$41="None",$D$42="None",$D$43="None",$D$45="Coverall"),"",'Subst. 2 scenario 3'!$G$31))</f>
      </c>
      <c r="D85" s="653"/>
      <c r="E85" s="172">
        <f>IF(OR(ISTEXT(C85),C85=0),"",C85*100/D84)</f>
      </c>
    </row>
    <row r="86" spans="1:5" ht="15.75" hidden="1">
      <c r="A86" s="654" t="str">
        <f>$D$6</f>
        <v>Substance 3</v>
      </c>
      <c r="B86" s="132" t="s">
        <v>3</v>
      </c>
      <c r="C86" s="76">
        <f>IF(OR(ISTEXT('Subst. 3 scenario 3'!$E$31),'Subst. 3 scenario 3'!$E$31=0),"",'Subst. 3 scenario 3'!$E$31)</f>
      </c>
      <c r="D86" s="652">
        <f>IF($D$12=0,"",$D$12)</f>
      </c>
      <c r="E86" s="172">
        <f>IF(OR(ISTEXT(C86),C86=0),"",C86*100/D86)</f>
      </c>
    </row>
    <row r="87" spans="1:5" ht="15.75" hidden="1">
      <c r="A87" s="655"/>
      <c r="B87" s="132" t="s">
        <v>22</v>
      </c>
      <c r="C87" s="194">
        <f>IF(AND($B$36="High crop, intensive contact with treated crop",OR($D$42="None",$D$45="Coverall")),"",IF(AND($B$42="None",$B$43="None",$D$41="None",$D$42="None",$D$43="None",$D$45="Coverall"),"",'Subst. 3 scenario 3'!$G$31))</f>
      </c>
      <c r="D87" s="653"/>
      <c r="E87" s="172">
        <f>IF(OR(ISTEXT(C87),C87=0),"",C87*100/D86)</f>
      </c>
    </row>
    <row r="88" spans="1:5" ht="15.75" hidden="1">
      <c r="A88" s="654" t="str">
        <f>$E$6</f>
        <v>Substance 4</v>
      </c>
      <c r="B88" s="132" t="s">
        <v>3</v>
      </c>
      <c r="C88" s="76">
        <f>IF(OR(ISTEXT('Subst. 4 scenario 3'!$E$31),'Subst. 4 scenario 3'!$E$31=0),"",'Subst. 4 scenario 3'!$E$31)</f>
      </c>
      <c r="D88" s="652">
        <f>IF($E$12=0,"",$E$12)</f>
      </c>
      <c r="E88" s="172">
        <f>IF(OR(ISTEXT(C88),C88=0),"",C88*100/D88)</f>
      </c>
    </row>
    <row r="89" spans="1:5" ht="15.75" hidden="1">
      <c r="A89" s="655"/>
      <c r="B89" s="132" t="s">
        <v>22</v>
      </c>
      <c r="C89" s="194">
        <f>IF(AND($B$36="High crop, intensive contact with treated crop",OR($D$42="None",$D$45="Coverall")),"",IF(AND($B$42="None",$B$43="None",$D$41="None",$D$42="None",$D$43="None",$D$45="Coverall"),"",'Subst. 4 scenario 3'!$G$31))</f>
      </c>
      <c r="D89" s="653"/>
      <c r="E89" s="172">
        <f>IF(OR(ISTEXT(C89),C89=0),"",C89*100/D88)</f>
      </c>
    </row>
    <row r="90" spans="1:5" ht="24.75" customHeight="1" hidden="1">
      <c r="A90" s="656" t="str">
        <f>B47</f>
        <v>High crop, standard</v>
      </c>
      <c r="B90" s="657"/>
      <c r="C90" s="657"/>
      <c r="D90" s="657"/>
      <c r="E90" s="658"/>
    </row>
    <row r="91" spans="1:8" ht="15.75" hidden="1">
      <c r="A91" s="654" t="str">
        <f>$B$6</f>
        <v>Substance 1</v>
      </c>
      <c r="B91" s="132" t="s">
        <v>3</v>
      </c>
      <c r="C91" s="76">
        <f>IF(OR(ISTEXT('Subst. 1 scenario 4'!$E$31),'Subst. 1 scenario 4'!$E$31=0),"",'Subst. 1 scenario 4'!$E$31)</f>
      </c>
      <c r="D91" s="652">
        <f>IF($B$12=0,"",$B$12)</f>
        <v>0.1</v>
      </c>
      <c r="E91" s="172">
        <f>IF(OR(ISTEXT(C91),C91=0),"",C91*100/D91)</f>
      </c>
      <c r="F91" s="650" t="s">
        <v>610</v>
      </c>
      <c r="G91" s="651"/>
      <c r="H91" s="651"/>
    </row>
    <row r="92" spans="1:8" ht="15.75" hidden="1">
      <c r="A92" s="655"/>
      <c r="B92" s="132" t="s">
        <v>22</v>
      </c>
      <c r="C92" s="194">
        <f>IF(AND($B$47="High crop, intensive contact with treated crop",OR($D$53="None",$D$56="Coverall")),"",IF(AND($B$53="None",$B$54="None",$D$52="None",$D$53="None",$D$54="None",$D$56="Coverall"),"",'Subst. 1 scenario 4'!$G$31))</f>
      </c>
      <c r="D92" s="653"/>
      <c r="E92" s="172">
        <f>IF(OR(ISTEXT(C92),C92=0),"",C92*100/D91)</f>
      </c>
      <c r="F92" s="650"/>
      <c r="G92" s="651"/>
      <c r="H92" s="651"/>
    </row>
    <row r="93" spans="1:5" ht="15.75" hidden="1">
      <c r="A93" s="654" t="str">
        <f>$C$6</f>
        <v>Substance 2</v>
      </c>
      <c r="B93" s="132" t="s">
        <v>3</v>
      </c>
      <c r="C93" s="76">
        <f>IF(OR(ISTEXT('Subst. 2 scenario 4'!$E$31),'Subst. 2 scenario 4'!$E$31=0),"",'Subst. 2 scenario 4'!$E$31)</f>
      </c>
      <c r="D93" s="652">
        <f>IF($C$12=0,"",$C$12)</f>
      </c>
      <c r="E93" s="172">
        <f>IF(OR(ISTEXT(C93),C93=0),"",C93*100/D93)</f>
      </c>
    </row>
    <row r="94" spans="1:5" ht="15.75" hidden="1">
      <c r="A94" s="655"/>
      <c r="B94" s="132" t="s">
        <v>22</v>
      </c>
      <c r="C94" s="194">
        <f>IF(AND($B$47="High crop, intensive contact with treated crop",OR($D$53="None",$D$56="Coverall")),"",IF(AND($B$53="None",$B$54="None",$D$52="None",$D$53="None",$D$54="None",$D$56="Coverall"),"",'Subst. 2 scenario 4'!$G$31))</f>
      </c>
      <c r="D94" s="653"/>
      <c r="E94" s="172">
        <f>IF(OR(ISTEXT(C94),C94=0),"",C94*100/D93)</f>
      </c>
    </row>
    <row r="95" spans="1:5" ht="15.75" hidden="1">
      <c r="A95" s="654" t="str">
        <f>$D$6</f>
        <v>Substance 3</v>
      </c>
      <c r="B95" s="132" t="s">
        <v>3</v>
      </c>
      <c r="C95" s="76">
        <f>IF(OR(ISTEXT('Subst. 3 scenario 4'!$E$31),'Subst. 3 scenario 4'!$E$31=0),"",'Subst. 3 scenario 4'!$E$31)</f>
      </c>
      <c r="D95" s="652">
        <f>IF($D$12=0,"",$D$12)</f>
      </c>
      <c r="E95" s="172">
        <f>IF(OR(ISTEXT(C95),C95=0),"",C95*100/D95)</f>
      </c>
    </row>
    <row r="96" spans="1:5" ht="15.75" hidden="1">
      <c r="A96" s="655"/>
      <c r="B96" s="132" t="s">
        <v>22</v>
      </c>
      <c r="C96" s="194">
        <f>IF(AND($B$47="High crop, intensive contact with treated crop",OR($D$53="None",$D$56="Coverall")),"",IF(AND($B$53="None",$B$54="None",$D$52="None",$D$53="None",$D$54="None",$D$56="Coverall"),"",'Subst. 3 scenario 4'!$G$31))</f>
      </c>
      <c r="D96" s="653"/>
      <c r="E96" s="172">
        <f>IF(OR(ISTEXT(C96),C96=0),"",C96*100/D95)</f>
      </c>
    </row>
    <row r="97" spans="1:5" ht="15.75" hidden="1">
      <c r="A97" s="654" t="str">
        <f>$E$6</f>
        <v>Substance 4</v>
      </c>
      <c r="B97" s="132" t="s">
        <v>3</v>
      </c>
      <c r="C97" s="76">
        <f>IF(OR(ISTEXT('Subst. 4 scenario 4'!$E$31),'Subst. 4 scenario 4'!$E$31=0),"",'Subst. 4 scenario 4'!$E$31)</f>
      </c>
      <c r="D97" s="652">
        <f>IF($E$12=0,"",$E$12)</f>
      </c>
      <c r="E97" s="172">
        <f>IF(OR(ISTEXT(C97),C97=0),"",C97*100/D97)</f>
      </c>
    </row>
    <row r="98" spans="1:5" ht="15.75" hidden="1">
      <c r="A98" s="655"/>
      <c r="B98" s="132" t="s">
        <v>22</v>
      </c>
      <c r="C98" s="194">
        <f>IF(AND($B$47="High crop, intensive contact with treated crop",OR($D$53="None",$D$56="Coverall")),"",IF(AND($B$53="None",$B$54="None",$D$52="None",$D$53="None",$D$54="None",$D$56="Coverall"),"",'Subst. 4 scenario 4'!$G$31))</f>
      </c>
      <c r="D98" s="653"/>
      <c r="E98" s="172">
        <f>IF(OR(ISTEXT(C98),C98=0),"",C98*100/D97)</f>
      </c>
    </row>
    <row r="99" spans="1:13" s="207" customFormat="1" ht="15.75">
      <c r="A99" s="9"/>
      <c r="B99" s="204"/>
      <c r="C99" s="205"/>
      <c r="D99" s="204"/>
      <c r="E99" s="206"/>
      <c r="F99" s="9"/>
      <c r="G99" s="9"/>
      <c r="H99" s="9"/>
      <c r="I99" s="9"/>
      <c r="J99" s="9"/>
      <c r="K99" s="9"/>
      <c r="L99" s="9"/>
      <c r="M99" s="9"/>
    </row>
    <row r="100" spans="1:13" s="207" customFormat="1" ht="15.75">
      <c r="A100" s="9"/>
      <c r="B100" s="204"/>
      <c r="C100" s="205"/>
      <c r="D100" s="204"/>
      <c r="E100" s="206"/>
      <c r="F100" s="9"/>
      <c r="G100" s="9"/>
      <c r="H100" s="9"/>
      <c r="I100" s="9"/>
      <c r="J100" s="9"/>
      <c r="K100" s="9"/>
      <c r="L100" s="9"/>
      <c r="M100" s="9"/>
    </row>
  </sheetData>
  <sheetProtection sheet="1" objects="1" scenarios="1"/>
  <mergeCells count="48">
    <mergeCell ref="A88:A89"/>
    <mergeCell ref="A90:E90"/>
    <mergeCell ref="A84:A85"/>
    <mergeCell ref="A86:A87"/>
    <mergeCell ref="A82:A83"/>
    <mergeCell ref="D77:D78"/>
    <mergeCell ref="D45:F45"/>
    <mergeCell ref="B47:F47"/>
    <mergeCell ref="D56:F56"/>
    <mergeCell ref="F64:H65"/>
    <mergeCell ref="D64:D65"/>
    <mergeCell ref="B14:F14"/>
    <mergeCell ref="D23:F23"/>
    <mergeCell ref="B25:F25"/>
    <mergeCell ref="D34:F34"/>
    <mergeCell ref="A63:E63"/>
    <mergeCell ref="A64:A65"/>
    <mergeCell ref="B36:F36"/>
    <mergeCell ref="A66:A67"/>
    <mergeCell ref="A68:A69"/>
    <mergeCell ref="D79:D80"/>
    <mergeCell ref="D66:D67"/>
    <mergeCell ref="D68:D69"/>
    <mergeCell ref="A97:A98"/>
    <mergeCell ref="A93:A94"/>
    <mergeCell ref="A95:A96"/>
    <mergeCell ref="D84:D85"/>
    <mergeCell ref="D86:D87"/>
    <mergeCell ref="D95:D96"/>
    <mergeCell ref="D97:D98"/>
    <mergeCell ref="A70:A71"/>
    <mergeCell ref="A72:E72"/>
    <mergeCell ref="A73:A74"/>
    <mergeCell ref="A75:A76"/>
    <mergeCell ref="D70:D71"/>
    <mergeCell ref="D73:D74"/>
    <mergeCell ref="D75:D76"/>
    <mergeCell ref="A79:A80"/>
    <mergeCell ref="F73:H74"/>
    <mergeCell ref="F82:H83"/>
    <mergeCell ref="F91:H92"/>
    <mergeCell ref="D91:D92"/>
    <mergeCell ref="D82:D83"/>
    <mergeCell ref="D93:D94"/>
    <mergeCell ref="A81:E81"/>
    <mergeCell ref="D88:D89"/>
    <mergeCell ref="A91:A92"/>
    <mergeCell ref="A77:A78"/>
  </mergeCells>
  <conditionalFormatting sqref="G32 G43 G54 G21">
    <cfRule type="expression" priority="1" dxfId="1" stopIfTrue="1">
      <formula>B14&lt;&gt;"High crop, intensive contact with treated crop"</formula>
    </cfRule>
    <cfRule type="expression" priority="2" dxfId="4" stopIfTrue="1">
      <formula>B14="High crop, intensive contact with treated crop"</formula>
    </cfRule>
  </conditionalFormatting>
  <conditionalFormatting sqref="G22 G33 G44 G55">
    <cfRule type="expression" priority="3" dxfId="1" stopIfTrue="1">
      <formula>B14&lt;&gt;"Low crop, intensive contact with treated crop"</formula>
    </cfRule>
    <cfRule type="expression" priority="4" dxfId="4" stopIfTrue="1">
      <formula>B14="Low crop, intensive contact with treated crop"</formula>
    </cfRule>
  </conditionalFormatting>
  <conditionalFormatting sqref="G23 G34 G45 G56">
    <cfRule type="expression" priority="5" dxfId="1" stopIfTrue="1">
      <formula>B14&lt;&gt;"Low crop, standard"</formula>
    </cfRule>
    <cfRule type="expression" priority="6" dxfId="4" stopIfTrue="1">
      <formula>B14="Low crop, standard"</formula>
    </cfRule>
  </conditionalFormatting>
  <conditionalFormatting sqref="H21 H32 H43 H54">
    <cfRule type="expression" priority="7" dxfId="1" stopIfTrue="1">
      <formula>B14&lt;&gt;"High crop, intensive contact with treated crop"</formula>
    </cfRule>
    <cfRule type="expression" priority="8" dxfId="4" stopIfTrue="1">
      <formula>B14="High crop, intensive contact with treated crop"</formula>
    </cfRule>
  </conditionalFormatting>
  <conditionalFormatting sqref="H23 H34 H45 H56">
    <cfRule type="expression" priority="9" dxfId="1" stopIfTrue="1">
      <formula>B14&lt;&gt;"Low crop, standard"</formula>
    </cfRule>
    <cfRule type="expression" priority="10" dxfId="4" stopIfTrue="1">
      <formula>B14="Low crop, standard"</formula>
    </cfRule>
  </conditionalFormatting>
  <conditionalFormatting sqref="H44 H22 H33 H55">
    <cfRule type="expression" priority="11" dxfId="1" stopIfTrue="1">
      <formula>H14&lt;&gt;"Low crop, intensive contact with treated cropImpervious clothing"</formula>
    </cfRule>
    <cfRule type="expression" priority="12" dxfId="4" stopIfTrue="1">
      <formula>H14="Low crop, intensive contact with treated cropImpervious clothing"</formula>
    </cfRule>
  </conditionalFormatting>
  <conditionalFormatting sqref="H20 H31 H42 H53">
    <cfRule type="expression" priority="13" dxfId="0" stopIfTrue="1">
      <formula>D23&lt;&gt;"T-shirt + shorts"</formula>
    </cfRule>
    <cfRule type="expression" priority="14" dxfId="4" stopIfTrue="1">
      <formula>D23="T-shirt + shorts"</formula>
    </cfRule>
  </conditionalFormatting>
  <conditionalFormatting sqref="H17 H28 H39 H50">
    <cfRule type="expression" priority="15" dxfId="0" stopIfTrue="1">
      <formula>D23&lt;&gt;"T-shirt + shorts"</formula>
    </cfRule>
    <cfRule type="expression" priority="16" dxfId="104" stopIfTrue="1">
      <formula>D23="T-shirt + shorts"</formula>
    </cfRule>
  </conditionalFormatting>
  <conditionalFormatting sqref="H18 H29 H40 H51">
    <cfRule type="expression" priority="17" dxfId="0" stopIfTrue="1">
      <formula>D23&lt;&gt;"T-shirt + shorts"</formula>
    </cfRule>
    <cfRule type="expression" priority="18" dxfId="104" stopIfTrue="1">
      <formula>D23="T-shirt + shorts"</formula>
    </cfRule>
  </conditionalFormatting>
  <conditionalFormatting sqref="H19 H30 H41 H52">
    <cfRule type="expression" priority="19" dxfId="0" stopIfTrue="1">
      <formula>D23&lt;&gt;"T-shirt + shorts"</formula>
    </cfRule>
    <cfRule type="expression" priority="20" dxfId="104" stopIfTrue="1">
      <formula>D23="T-shirt + shorts"</formula>
    </cfRule>
  </conditionalFormatting>
  <conditionalFormatting sqref="F64:H65">
    <cfRule type="expression" priority="21" dxfId="0" stopIfTrue="1">
      <formula>D$23&lt;&gt;"T-shirt + shorts"</formula>
    </cfRule>
    <cfRule type="expression" priority="22" dxfId="96" stopIfTrue="1">
      <formula>D$23="T-shirt + shorts"</formula>
    </cfRule>
  </conditionalFormatting>
  <conditionalFormatting sqref="F73:H74">
    <cfRule type="expression" priority="23" dxfId="0" stopIfTrue="1">
      <formula>D$34&lt;&gt;"T-shirt + shorts"</formula>
    </cfRule>
    <cfRule type="expression" priority="24" dxfId="96" stopIfTrue="1">
      <formula>D$34="T-shirt + shorts"</formula>
    </cfRule>
  </conditionalFormatting>
  <conditionalFormatting sqref="F82:H83">
    <cfRule type="expression" priority="25" dxfId="0" stopIfTrue="1">
      <formula>D$45&lt;&gt;"T-shirt + shorts"</formula>
    </cfRule>
    <cfRule type="expression" priority="26" dxfId="96" stopIfTrue="1">
      <formula>D$45="T-shirt + shorts"</formula>
    </cfRule>
  </conditionalFormatting>
  <conditionalFormatting sqref="F91:H92">
    <cfRule type="expression" priority="27" dxfId="0" stopIfTrue="1">
      <formula>D$56&lt;&gt;"T-shirt + shorts"</formula>
    </cfRule>
    <cfRule type="expression" priority="28" dxfId="96" stopIfTrue="1">
      <formula>D$56="T-shirt + shorts"</formula>
    </cfRule>
  </conditionalFormatting>
  <dataValidations count="15">
    <dataValidation errorStyle="warning" type="list" allowBlank="1" showErrorMessage="1" promptTitle="Auswahlfeld" prompt="Bitte wählen Sie aus:&#10;WG&#10;WP&#10;Liquid" errorTitle="Warnung" error="Nur die Eingaben aus der Auswahlliste sind erlaubt, da der Typ der Schutzmaßnahme durch die Richtlinie vorgegeben ist.&#10;Benutzen Sie doch den Auswahlbutton." sqref="D52 D30 D19 D41">
      <formula1>PPE_Appl_Resp</formula1>
    </dataValidation>
    <dataValidation errorStyle="warning" type="list" allowBlank="1" showErrorMessage="1" promptTitle="Auswahlfeld" prompt="Bitte wählen Sie aus:&#10;WG&#10;WP&#10;Liquid" errorTitle="Warnung" error="Nur die Eingaben aus der Auswahlliste sind erlaubt, da der Typ der Schutzmaßnahme durch die Richtlinie vorgegeben ist.&#10;Benutzen Sie doch den Auswahlbutton." sqref="D53 D31 D20 D42">
      <formula1>PPE_Appl_Hands</formula1>
    </dataValidation>
    <dataValidation errorStyle="warning" type="list" allowBlank="1" showErrorMessage="1" promptTitle="Auswahlfeld" prompt="Bitte wählen Sie aus:&#10;WG&#10;WP&#10;Liquid" errorTitle="Warnung" error="Nur die Eingaben aus der Auswahlliste sind erlaubt, da der Typ der Schutzmaßnahme durch die Richtlinie vorgegeben ist.&#10;Benutzen Sie doch den Auswahlbutton." sqref="D54 D32 D21 D43">
      <formula1>PPE_Appl_Head</formula1>
    </dataValidation>
    <dataValidation type="list" allowBlank="1" showErrorMessage="1" promptTitle="Auswahlfeld" prompt="Bitte wählen Sie aus:&#10;WG&#10;WP&#10;Liquid" errorTitle="Warnung" error="Nur die Eingaben aus der Auswahlliste sind erlaubt, da der Typ der Formulierung durch die Richtlinie vorgegeben ist.&#10;Benutzen Sie doch den Auswahlbutton." sqref="B4">
      <formula1>Formulation</formula1>
    </dataValidation>
    <dataValidation errorStyle="warning" type="list" allowBlank="1" showErrorMessage="1" promptTitle="Auswahlfeld" prompt="Bitte wählen Sie aus:&#10;WG&#10;WP&#10;Liquid" errorTitle="Warnung" error="Nur die Eingaben aus der Auswahlliste sind erlaubt, da der Typ der Schutzmaßnahme durch die Richtlinie vorgegeben ist.&#10;Benutzen Sie doch den Auswahlbutton." sqref="B42 B31 B20 B53">
      <formula1>PPE_ML_Resp</formula1>
    </dataValidation>
    <dataValidation errorStyle="warning" type="list" allowBlank="1" showErrorMessage="1" promptTitle="Auswahlfeld" prompt="Bitte wählen Sie aus:&#10;WG&#10;WP&#10;Liquid" errorTitle="Warnung" error="Nur die Eingaben aus der Auswahlliste sind erlaubt, da der Typ der Schutzmaßnahme durch die Richtlinie vorgegeben ist.&#10;Benutzen Sie doch den Auswahlbutton." sqref="B43 B32 B21 B54">
      <formula1>PPE_ML_hands</formula1>
    </dataValidation>
    <dataValidation type="list" allowBlank="1" showErrorMessage="1" errorTitle="Warnung" error="Nur die Eingaben aus der Auswahlliste sind erlaubt, da der Typ der Applikationsmethode durch die Richtlinie vorgegeben ist.&#10;Benutzen Sie doch den Auswahlbutton." sqref="B36 B25 B14 B47">
      <formula1>Application_method</formula1>
    </dataValidation>
    <dataValidation errorStyle="information" type="list" allowBlank="1" showDropDown="1" showErrorMessage="1" promptTitle="Auswahlfeld" prompt="Bitte wählen Sie aus:&#10;WG&#10;WP&#10;Liquid" errorTitle="Warnung" error="Nur die vorgegebenen Eingaben sind durch die Richtlinie abgedeckt.&#10;Wenn Sie andere Werte verwenden wollen einfach mit Ja  fortfahren." sqref="C17:E17">
      <formula1>Work_rate</formula1>
    </dataValidation>
    <dataValidation errorStyle="information" type="list" allowBlank="1" showDropDown="1" showErrorMessage="1" promptTitle="Auswahlfeld" prompt="Bitte wählen Sie aus:&#10;WG&#10;WP&#10;Liquid" errorTitle="Warning" error="The guideline default is 70 kg.&#10;If you want to use different values just continue.&#10;ATTENTION:&#10;Default rates are not automatically restored!" sqref="B5">
      <formula1>"70"</formula1>
    </dataValidation>
    <dataValidation errorStyle="information" type="list" allowBlank="1" showDropDown="1" showErrorMessage="1" promptTitle="Auswahlfeld" prompt="Bitte wählen Sie aus:&#10;WG&#10;WP&#10;Liquid" errorTitle="Warning" error="Only the default rates are covered by the guidline.&#10;If you wish to chose different rates just confirm.&#10;ATTENTION:&#10;Default rates are not automatically restored!" sqref="B17 B28 B39 B50">
      <formula1>Work_rate</formula1>
    </dataValidation>
    <dataValidation type="list" allowBlank="1" showInputMessage="1" showErrorMessage="1" sqref="D3">
      <formula1>$O$3:$O$4</formula1>
    </dataValidation>
    <dataValidation type="list" allowBlank="1" showInputMessage="1" showErrorMessage="1" sqref="D23:F23">
      <formula1>$P$14:$P$16</formula1>
    </dataValidation>
    <dataValidation errorStyle="warning" type="list" allowBlank="1" showErrorMessage="1" promptTitle="Auswahlfeld" prompt="Bitte wählen Sie aus:&#10;WG&#10;WP&#10;Liquid" errorTitle="Warnung" error="Nur die Eingaben aus der Auswahlliste sind erlaubt, da der Typ der Schutzmaßnahme durch die Richtlinie vorgegeben ist.&#10;Benutzen Sie doch den Auswahlbutton." sqref="D56:F56">
      <formula1>$P$47:$P$49</formula1>
    </dataValidation>
    <dataValidation errorStyle="warning" type="list" allowBlank="1" showErrorMessage="1" promptTitle="Auswahlfeld" prompt="Bitte wählen Sie aus:&#10;WG&#10;WP&#10;Liquid" errorTitle="Warnung" error="Nur die Eingaben aus der Auswahlliste sind erlaubt, da der Typ der Schutzmaßnahme durch die Richtlinie vorgegeben ist.&#10;Benutzen Sie doch den Auswahlbutton." sqref="D34:F34">
      <formula1>$P$25:$P$27</formula1>
    </dataValidation>
    <dataValidation errorStyle="warning" type="list" allowBlank="1" showErrorMessage="1" promptTitle="Auswahlfeld" prompt="Bitte wählen Sie aus:&#10;WG&#10;WP&#10;Liquid" errorTitle="Warnung" error="Nur die Eingaben aus der Auswahlliste sind erlaubt, da der Typ der Schutzmaßnahme durch die Richtlinie vorgegeben ist.&#10;Benutzen Sie doch den Auswahlbutton." sqref="D45:F45">
      <formula1>$P$36:$P$38</formula1>
    </dataValidation>
  </dataValidations>
  <printOptions horizontalCentered="1"/>
  <pageMargins left="0.7874015748031497" right="0.3937007874015748" top="0.68" bottom="1.1023622047244095" header="0.5118110236220472" footer="0.9055118110236221"/>
  <pageSetup fitToHeight="2" horizontalDpi="600" verticalDpi="600" orientation="portrait" paperSize="9" scale="70" r:id="rId4"/>
  <rowBreaks count="1" manualBreakCount="1">
    <brk id="58" max="255" man="1"/>
  </rowBreaks>
  <ignoredErrors>
    <ignoredError sqref="D71 A80:B81 C72 A77:B77 E81 D81 E65 A78:B78 C81 D72 A72:B73 E66:E71 A74:B74 E72 E74:E79 A76:B76 A71:B71 A79:B79 A75:B75 A69:B69 D69 D67 A67:B67 A70:B70 A66:B66 A68:B68 A82:B83 A85:B85 A89:B89 A87:B87 A88:B88 A86:B86 A84:B84 A90:B98 E82:E98 D90 C90" formula="1"/>
  </ignoredErrors>
  <drawing r:id="rId2"/>
  <legacyDrawing r:id="rId1"/>
  <legacyDrawingHF r:id="rId3"/>
</worksheet>
</file>

<file path=xl/worksheets/sheet10.xml><?xml version="1.0" encoding="utf-8"?>
<worksheet xmlns="http://schemas.openxmlformats.org/spreadsheetml/2006/main" xmlns:r="http://schemas.openxmlformats.org/officeDocument/2006/relationships">
  <sheetPr codeName="Tabelle16">
    <pageSetUpPr fitToPage="1"/>
  </sheetPr>
  <dimension ref="A1:K42"/>
  <sheetViews>
    <sheetView zoomScale="75" zoomScaleNormal="75" zoomScalePageLayoutView="0" workbookViewId="0" topLeftCell="A1">
      <selection activeCell="F21" sqref="F21"/>
    </sheetView>
  </sheetViews>
  <sheetFormatPr defaultColWidth="11.421875" defaultRowHeight="12.75"/>
  <cols>
    <col min="1" max="1" width="24.8515625" style="3" customWidth="1"/>
    <col min="2" max="2" width="17.28125" style="3" customWidth="1"/>
    <col min="3" max="3" width="14.140625" style="3" customWidth="1"/>
    <col min="4" max="4" width="18.851562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screen'!B47</f>
        <v>Operator exposure estimate: Greenhouse model. High crop, standard</v>
      </c>
      <c r="B1" s="2"/>
      <c r="C1" s="2"/>
      <c r="I1" s="171" t="str">
        <f>'Data entry screen'!B47</f>
        <v>High crop, standard</v>
      </c>
    </row>
    <row r="2" spans="1:7" ht="15.75">
      <c r="A2" s="4" t="s">
        <v>6</v>
      </c>
      <c r="B2" s="70" t="str">
        <f>'Data entry screen'!$B$3</f>
        <v>Dummy</v>
      </c>
      <c r="C2" s="5"/>
      <c r="D2" s="6"/>
      <c r="E2" s="6"/>
      <c r="F2" s="6"/>
      <c r="G2" s="7"/>
    </row>
    <row r="3" spans="1:7" ht="15.75">
      <c r="A3" s="7" t="s">
        <v>24</v>
      </c>
      <c r="B3" s="66" t="str">
        <f>'Data entry screen'!$C$6</f>
        <v>Substance 2</v>
      </c>
      <c r="C3" s="8"/>
      <c r="D3" s="15" t="s">
        <v>92</v>
      </c>
      <c r="E3" s="75">
        <f>'Data entry screen'!C7</f>
        <v>0</v>
      </c>
      <c r="F3" s="3" t="s">
        <v>93</v>
      </c>
      <c r="G3" s="7"/>
    </row>
    <row r="4" spans="1:7" ht="15.75">
      <c r="A4" s="7" t="s">
        <v>5</v>
      </c>
      <c r="B4" s="66" t="str">
        <f>'Data entry screen'!$B$4</f>
        <v>WG</v>
      </c>
      <c r="C4" s="9"/>
      <c r="D4" s="15" t="s">
        <v>11</v>
      </c>
      <c r="E4" s="8" t="s">
        <v>25</v>
      </c>
      <c r="F4" s="8" t="str">
        <f>'Data entry screen'!B53</f>
        <v>None</v>
      </c>
      <c r="G4" s="25"/>
    </row>
    <row r="5" spans="1:7" ht="15.75">
      <c r="A5" s="7" t="s">
        <v>88</v>
      </c>
      <c r="B5" s="12">
        <f>'Data entry screen'!B48</f>
        <v>0</v>
      </c>
      <c r="C5" s="8"/>
      <c r="D5" s="8"/>
      <c r="E5" s="8" t="s">
        <v>26</v>
      </c>
      <c r="F5" s="8" t="str">
        <f>'Data entry screen'!B54</f>
        <v>None</v>
      </c>
      <c r="G5" s="25"/>
    </row>
    <row r="6" spans="1:7" ht="15.75">
      <c r="A6" s="7" t="s">
        <v>7</v>
      </c>
      <c r="B6" s="13">
        <f>'Data entry screen'!B50</f>
        <v>1</v>
      </c>
      <c r="C6" s="14"/>
      <c r="D6" s="15" t="s">
        <v>12</v>
      </c>
      <c r="E6" s="8" t="s">
        <v>25</v>
      </c>
      <c r="F6" s="8" t="str">
        <f>'Data entry screen'!D52</f>
        <v>None</v>
      </c>
      <c r="G6" s="7"/>
    </row>
    <row r="7" spans="1:7" ht="15.75">
      <c r="A7" s="7" t="s">
        <v>78</v>
      </c>
      <c r="B7" s="13">
        <f>'Data entry screen'!B5</f>
        <v>70</v>
      </c>
      <c r="C7" s="16"/>
      <c r="E7" s="8" t="s">
        <v>26</v>
      </c>
      <c r="F7" s="8" t="str">
        <f>'Data entry screen'!D53</f>
        <v>None</v>
      </c>
      <c r="G7" s="7"/>
    </row>
    <row r="8" spans="1:7" ht="15.75">
      <c r="A8" s="7" t="s">
        <v>53</v>
      </c>
      <c r="B8" s="13">
        <f>'Data entry screen'!C8</f>
        <v>0</v>
      </c>
      <c r="C8" s="8"/>
      <c r="E8" s="8" t="s">
        <v>27</v>
      </c>
      <c r="F8" s="8" t="str">
        <f>'Data entry screen'!D54</f>
        <v>None</v>
      </c>
      <c r="G8" s="7"/>
    </row>
    <row r="9" spans="1:7" ht="15.75">
      <c r="A9" s="7" t="s">
        <v>52</v>
      </c>
      <c r="B9" s="71">
        <f>'Data entry screen'!C10</f>
        <v>0</v>
      </c>
      <c r="C9" s="8" t="s">
        <v>79</v>
      </c>
      <c r="D9" s="10"/>
      <c r="E9" s="8" t="s">
        <v>28</v>
      </c>
      <c r="F9" s="8" t="str">
        <f>'Data entry screen'!D56</f>
        <v>Coverall</v>
      </c>
      <c r="G9" s="7"/>
    </row>
    <row r="10" spans="1:7" ht="15.75">
      <c r="A10" s="17"/>
      <c r="B10" s="72">
        <f>'Data entry screen'!C11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Calculations!C78</f>
        <v>0.013343799427581531</v>
      </c>
      <c r="C16" s="185"/>
      <c r="D16" s="197">
        <f aca="true" t="shared" si="0" ref="D16:D21">$E$3*$B$5*$B$6/1000</f>
        <v>0</v>
      </c>
      <c r="E16" s="208">
        <f>B16*$D16/$B$7</f>
        <v>0</v>
      </c>
      <c r="F16" s="12">
        <f>IF('Data entry screen'!B53="None","",Calculations!D78)</f>
      </c>
      <c r="G16" s="200">
        <f>IF(F4="None","",B16*F16*$D16/$B$7)</f>
      </c>
      <c r="H16" s="29" t="s">
        <v>31</v>
      </c>
      <c r="I16" s="173"/>
      <c r="J16" s="171"/>
      <c r="K16" s="171"/>
    </row>
    <row r="17" spans="1:11" ht="15.75">
      <c r="A17" s="27" t="s">
        <v>61</v>
      </c>
      <c r="B17" s="185">
        <f>Calculations!B81</f>
        <v>2.2951175335732805</v>
      </c>
      <c r="C17" s="185">
        <f>IF('Data entry screen'!B54="None","",Calculations!C81)</f>
      </c>
      <c r="D17" s="197">
        <f t="shared" si="0"/>
        <v>0</v>
      </c>
      <c r="E17" s="208">
        <f>B17*$D17/$B$7</f>
        <v>0</v>
      </c>
      <c r="F17" s="12"/>
      <c r="G17" s="200">
        <f>IF(F5="None","",C17*$D17/$B$7)</f>
      </c>
      <c r="H17" s="29" t="s">
        <v>36</v>
      </c>
      <c r="I17" s="174"/>
      <c r="J17" s="171"/>
      <c r="K17" s="171"/>
    </row>
    <row r="18" spans="1:11" ht="15.75">
      <c r="A18" s="27" t="s">
        <v>86</v>
      </c>
      <c r="B18" s="185">
        <f>Calculations!B84</f>
        <v>0.6769548608495896</v>
      </c>
      <c r="C18" s="185"/>
      <c r="D18" s="197">
        <f t="shared" si="0"/>
        <v>0</v>
      </c>
      <c r="E18" s="208">
        <f>B18*$D18/$B$7</f>
        <v>0</v>
      </c>
      <c r="F18" s="12">
        <f>IF('Data entry screen'!D52="None","",Calculations!D84)</f>
      </c>
      <c r="G18" s="200">
        <f>IF(F6="None","",B18*F18*$D18/$B$7)</f>
      </c>
      <c r="H18" s="29" t="s">
        <v>32</v>
      </c>
      <c r="I18" s="174"/>
      <c r="J18" s="171"/>
      <c r="K18" s="171"/>
    </row>
    <row r="19" spans="1:11" ht="15.75">
      <c r="A19" s="27" t="s">
        <v>62</v>
      </c>
      <c r="B19" s="185">
        <f>Calculations!B87</f>
        <v>0.806060606060606</v>
      </c>
      <c r="C19" s="185"/>
      <c r="D19" s="197">
        <f t="shared" si="0"/>
        <v>0</v>
      </c>
      <c r="E19" s="208">
        <f>B19*$D19/$B$7</f>
        <v>0</v>
      </c>
      <c r="F19" s="12">
        <f>IF(AND('Data entry screen'!D52="None",'Data entry screen'!D54="None"),"",Calculations!D87)</f>
      </c>
      <c r="G19" s="200">
        <f>IF(AND(F8="None",F6="None"),"",B19*F19*$D19/$B$7)</f>
      </c>
      <c r="H19" s="29" t="s">
        <v>34</v>
      </c>
      <c r="I19" s="174"/>
      <c r="J19" s="276">
        <f>IF(ISNUMBER(G19),G19,IF(G19="",E19,""))</f>
        <v>0</v>
      </c>
      <c r="K19" s="171"/>
    </row>
    <row r="20" spans="1:11" ht="15.75">
      <c r="A20" s="27" t="s">
        <v>63</v>
      </c>
      <c r="B20" s="185">
        <f>IF(ISNUMBER(Calculations!B90),Calculations!B90,"not applicable")</f>
        <v>25.19038613053613</v>
      </c>
      <c r="C20" s="185">
        <f>IF('Data entry screen'!D53="None","",Calculations!C90)</f>
      </c>
      <c r="D20" s="197">
        <f t="shared" si="0"/>
        <v>0</v>
      </c>
      <c r="E20" s="209">
        <f>IF('Data entry screen'!$B$47="High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shorts","",IF(ISNUMBER(Calculations!B93),Calculations!B93,"not applicable"))</f>
        <v>17.08412631842649</v>
      </c>
      <c r="C21" s="19">
        <f>IF(AND(OR('Data entry screen'!B47="High crop, standard",'Data entry screen'!B47="High crop, intensive contact with treated crop",'Data entry screen'!B47="Low crop, intensive contact with treated crop"),'Data entry screen'!D56="Impervious clothing"),Calculations!C93,"")</f>
      </c>
      <c r="D21" s="198">
        <f t="shared" si="0"/>
        <v>0</v>
      </c>
      <c r="E21" s="186">
        <f>IF('Data entry screen'!$B$47="High crop, intensive contact with treated crop","",B21*$D21/$B$7)</f>
        <v>0</v>
      </c>
      <c r="F21" s="73">
        <f>IF(F9="T-shirt + shorts","",IF(AND('Data entry screen'!D56="Impervious clothing",OR('Data entry screen'!B47="Low crop, intensive contact with treated crop",'Data entry screen'!B47="High crop, intensive contact with treated crop")),"",IF(OR(AND('Data entry screen'!B47="High crop, standard",'Data entry screen'!D56="Coverall"),'Data entry screen'!B47="Low crop, standard",'Data entry screen'!B47="Low crop, intensive contact with treated crop",'Data entry screen'!B47="High crop, intensive contact with treated crop"),"",Calculations!D93)))</f>
      </c>
      <c r="G21" s="201">
        <f>IF(F9="T-shirt + shorts","",IF(F9="Coverall","",IF(AND(OR('Data entry screen'!B47="Low crop, intensive contact with treated crop",'Data entry screen'!B47="High crop, intensive contact with treated crop"),F9="Impervious clothing"),C21*D21/$B$7,IF('Data entry screen'!B47="Low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278">
        <f>IF(D27="","",IF(C27=0,"",D27*C27/100))</f>
      </c>
      <c r="F27" s="101">
        <f>IF(ISNUMBER(G17),G17,IF(AND(ISNUMBER(E17),OR(ISNUMBER(G16),ISNUMBER(G18),ISNUMBER(G19),ISNUMBER(G20),ISNUMBER(G21))),E17,""))</f>
      </c>
      <c r="G27" s="103">
        <f>IF(C27=0,"",IF(ISNUMBER(F27),F27*C27/100,""))</f>
      </c>
      <c r="I27" s="177"/>
      <c r="J27" s="177"/>
      <c r="K27" s="171"/>
    </row>
    <row r="28" spans="1:11" ht="15.75" customHeight="1">
      <c r="A28" s="68"/>
      <c r="B28" s="114" t="s">
        <v>4</v>
      </c>
      <c r="C28" s="271">
        <f>B10</f>
        <v>0</v>
      </c>
      <c r="D28" s="101">
        <f>IF(F9="T-shirt + shorts","",IF('Data entry screen'!$B$47="High crop, intensive contact with treated crop","",SUM(E19:E21)))</f>
        <v>0</v>
      </c>
      <c r="E28" s="103">
        <f>IF(D28="","",IF('Data entry screen'!B47="High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80"/>
      <c r="J31" s="179"/>
      <c r="K31" s="171"/>
    </row>
    <row r="32" spans="1:7" ht="15.75">
      <c r="A32" s="10" t="s">
        <v>378</v>
      </c>
      <c r="B32" s="10"/>
      <c r="C32" s="28"/>
      <c r="D32" s="102" t="s">
        <v>334</v>
      </c>
      <c r="E32" s="102"/>
      <c r="F32" s="102"/>
      <c r="G32" s="102"/>
    </row>
    <row r="33" spans="1:8" ht="94.5"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row r="42" spans="4:7" ht="15.75">
      <c r="D42" s="168"/>
      <c r="E42" s="168"/>
      <c r="F42" s="168"/>
      <c r="G42" s="168"/>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G17" formula="1"/>
    <ignoredError sqref="E3" unlockedFormula="1"/>
  </ignoredErrors>
  <legacyDrawingHF r:id="rId1"/>
</worksheet>
</file>

<file path=xl/worksheets/sheet11.xml><?xml version="1.0" encoding="utf-8"?>
<worksheet xmlns="http://schemas.openxmlformats.org/spreadsheetml/2006/main" xmlns:r="http://schemas.openxmlformats.org/officeDocument/2006/relationships">
  <sheetPr codeName="Tabelle6">
    <pageSetUpPr fitToPage="1"/>
  </sheetPr>
  <dimension ref="A1:K41"/>
  <sheetViews>
    <sheetView zoomScale="75" zoomScaleNormal="75" zoomScalePageLayoutView="0" workbookViewId="0" topLeftCell="A1">
      <selection activeCell="G22" sqref="G22"/>
    </sheetView>
  </sheetViews>
  <sheetFormatPr defaultColWidth="11.421875" defaultRowHeight="12.75"/>
  <cols>
    <col min="1" max="1" width="24.28125" style="3" customWidth="1"/>
    <col min="2" max="2" width="17.28125" style="3" bestFit="1" customWidth="1"/>
    <col min="3" max="3" width="14.00390625" style="3" customWidth="1"/>
    <col min="4" max="4" width="18.8515625" style="3" customWidth="1"/>
    <col min="5" max="7" width="16.7109375" style="3" customWidth="1"/>
    <col min="8" max="8" width="16.00390625" style="3" bestFit="1" customWidth="1"/>
    <col min="9" max="9" width="14.8515625" style="3" bestFit="1" customWidth="1"/>
    <col min="10" max="10" width="15.140625" style="3" bestFit="1" customWidth="1"/>
    <col min="11" max="16384" width="11.421875" style="3" customWidth="1"/>
  </cols>
  <sheetData>
    <row r="1" spans="1:9" ht="15.75">
      <c r="A1" s="1" t="str">
        <f>"Operator exposure estimate: Greenhouse model. "&amp;'Data entry screen'!B14</f>
        <v>Operator exposure estimate: Greenhouse model. High crop, standard</v>
      </c>
      <c r="B1" s="2"/>
      <c r="C1" s="2"/>
      <c r="I1" s="171" t="str">
        <f>'Data entry screen'!B14</f>
        <v>High crop, standard</v>
      </c>
    </row>
    <row r="2" spans="1:7" ht="15.75">
      <c r="A2" s="4" t="s">
        <v>6</v>
      </c>
      <c r="B2" s="70" t="str">
        <f>'Data entry screen'!$B$3</f>
        <v>Dummy</v>
      </c>
      <c r="C2" s="5"/>
      <c r="D2" s="6"/>
      <c r="E2" s="6"/>
      <c r="F2" s="6"/>
      <c r="G2" s="7"/>
    </row>
    <row r="3" spans="1:7" ht="15.75">
      <c r="A3" s="7" t="s">
        <v>24</v>
      </c>
      <c r="B3" s="66" t="str">
        <f>'Data entry screen'!$D$6</f>
        <v>Substance 3</v>
      </c>
      <c r="C3" s="8"/>
      <c r="D3" s="15" t="s">
        <v>92</v>
      </c>
      <c r="E3" s="75">
        <f>'Data entry screen'!D7</f>
        <v>0</v>
      </c>
      <c r="F3" s="3" t="s">
        <v>93</v>
      </c>
      <c r="G3" s="7"/>
    </row>
    <row r="4" spans="1:7" ht="15.75">
      <c r="A4" s="7" t="s">
        <v>5</v>
      </c>
      <c r="B4" s="66" t="str">
        <f>'Data entry screen'!$B$4</f>
        <v>WG</v>
      </c>
      <c r="C4" s="9"/>
      <c r="D4" s="15" t="s">
        <v>11</v>
      </c>
      <c r="E4" s="8" t="s">
        <v>25</v>
      </c>
      <c r="F4" s="8" t="str">
        <f>'Data entry screen'!B20</f>
        <v>None</v>
      </c>
      <c r="G4" s="25"/>
    </row>
    <row r="5" spans="1:7" ht="15.75">
      <c r="A5" s="7" t="s">
        <v>88</v>
      </c>
      <c r="B5" s="12">
        <f>'Data entry screen'!B15</f>
        <v>0</v>
      </c>
      <c r="C5" s="8"/>
      <c r="D5" s="8"/>
      <c r="E5" s="8" t="s">
        <v>26</v>
      </c>
      <c r="F5" s="8" t="str">
        <f>'Data entry screen'!B21</f>
        <v>None</v>
      </c>
      <c r="G5" s="25"/>
    </row>
    <row r="6" spans="1:7" ht="15.75">
      <c r="A6" s="7" t="s">
        <v>7</v>
      </c>
      <c r="B6" s="13">
        <f>'Data entry screen'!B17</f>
        <v>1</v>
      </c>
      <c r="C6" s="14"/>
      <c r="D6" s="15" t="s">
        <v>12</v>
      </c>
      <c r="E6" s="8" t="s">
        <v>25</v>
      </c>
      <c r="F6" s="8" t="str">
        <f>'Data entry screen'!D19</f>
        <v>None</v>
      </c>
      <c r="G6" s="7"/>
    </row>
    <row r="7" spans="1:7" ht="15.75">
      <c r="A7" s="7" t="s">
        <v>78</v>
      </c>
      <c r="B7" s="13">
        <f>'Data entry screen'!B5</f>
        <v>70</v>
      </c>
      <c r="C7" s="16"/>
      <c r="E7" s="8" t="s">
        <v>26</v>
      </c>
      <c r="F7" s="8" t="str">
        <f>'Data entry screen'!D20</f>
        <v>None</v>
      </c>
      <c r="G7" s="7"/>
    </row>
    <row r="8" spans="1:7" ht="15.75">
      <c r="A8" s="7" t="s">
        <v>53</v>
      </c>
      <c r="B8" s="13">
        <f>'Data entry screen'!D8</f>
        <v>0</v>
      </c>
      <c r="C8" s="8"/>
      <c r="E8" s="8" t="s">
        <v>27</v>
      </c>
      <c r="F8" s="8" t="str">
        <f>'Data entry screen'!D21</f>
        <v>None</v>
      </c>
      <c r="G8" s="7"/>
    </row>
    <row r="9" spans="1:7" ht="15.75">
      <c r="A9" s="7" t="s">
        <v>52</v>
      </c>
      <c r="B9" s="71">
        <f>'Data entry screen'!D10</f>
        <v>0</v>
      </c>
      <c r="C9" s="8" t="s">
        <v>79</v>
      </c>
      <c r="D9" s="10"/>
      <c r="E9" s="8" t="s">
        <v>28</v>
      </c>
      <c r="F9" s="8" t="str">
        <f>'Data entry screen'!D23</f>
        <v>Coverall</v>
      </c>
      <c r="G9" s="7"/>
    </row>
    <row r="10" spans="1:7" ht="15.75">
      <c r="A10" s="17"/>
      <c r="B10" s="72">
        <f>'Data entry screen'!D11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Calculations!C15</f>
        <v>0.013343799427581531</v>
      </c>
      <c r="C16" s="185"/>
      <c r="D16" s="197">
        <f aca="true" t="shared" si="0" ref="D16:D21">$E$3*$B$5*$B$6/1000</f>
        <v>0</v>
      </c>
      <c r="E16" s="208">
        <f>B16*$D16/$B$7</f>
        <v>0</v>
      </c>
      <c r="F16" s="12">
        <f>IF('Data entry screen'!B20="None","",Calculations!D15)</f>
      </c>
      <c r="G16" s="200">
        <f>IF(F4="None","",B16*F16*$D16/$B$7)</f>
      </c>
      <c r="H16" s="29" t="s">
        <v>31</v>
      </c>
      <c r="I16" s="173"/>
      <c r="J16" s="171"/>
      <c r="K16" s="171"/>
    </row>
    <row r="17" spans="1:11" ht="15.75">
      <c r="A17" s="27" t="s">
        <v>61</v>
      </c>
      <c r="B17" s="185">
        <f>Calculations!B18</f>
        <v>2.2951175335732805</v>
      </c>
      <c r="C17" s="185">
        <f>IF('Data entry screen'!B21="None","",Calculations!C18)</f>
      </c>
      <c r="D17" s="197">
        <f t="shared" si="0"/>
        <v>0</v>
      </c>
      <c r="E17" s="208">
        <f>B17*$D17/$B$7</f>
        <v>0</v>
      </c>
      <c r="F17" s="12"/>
      <c r="G17" s="200">
        <f>IF(F5="None","",C17*$D17/$B$7)</f>
      </c>
      <c r="H17" s="29" t="s">
        <v>36</v>
      </c>
      <c r="I17" s="174"/>
      <c r="J17" s="171"/>
      <c r="K17" s="171"/>
    </row>
    <row r="18" spans="1:11" ht="15.75">
      <c r="A18" s="27" t="s">
        <v>86</v>
      </c>
      <c r="B18" s="185">
        <f>Calculations!B21</f>
        <v>0.6769548608495896</v>
      </c>
      <c r="C18" s="185"/>
      <c r="D18" s="197">
        <f t="shared" si="0"/>
        <v>0</v>
      </c>
      <c r="E18" s="208">
        <f>B18*$D18/$B$7</f>
        <v>0</v>
      </c>
      <c r="F18" s="12">
        <f>IF('Data entry screen'!D19="None","",Calculations!D21)</f>
      </c>
      <c r="G18" s="200">
        <f>IF(F6="None","",B18*F18*$D18/$B$7)</f>
      </c>
      <c r="H18" s="29" t="s">
        <v>32</v>
      </c>
      <c r="I18" s="174"/>
      <c r="J18" s="171"/>
      <c r="K18" s="171"/>
    </row>
    <row r="19" spans="1:11" ht="15.75">
      <c r="A19" s="27" t="s">
        <v>62</v>
      </c>
      <c r="B19" s="185">
        <f>Calculations!B24</f>
        <v>0.806060606060606</v>
      </c>
      <c r="C19" s="185"/>
      <c r="D19" s="197">
        <f t="shared" si="0"/>
        <v>0</v>
      </c>
      <c r="E19" s="208">
        <f>B19*$D19/$B$7</f>
        <v>0</v>
      </c>
      <c r="F19" s="12">
        <f>IF(AND('Data entry screen'!D19="None",'Data entry screen'!D21="None"),"",Calculations!D24)</f>
      </c>
      <c r="G19" s="200">
        <f>IF(AND(F8="None",F6="None"),"",B19*F19*$D19/$B$7)</f>
      </c>
      <c r="H19" s="29" t="s">
        <v>34</v>
      </c>
      <c r="I19" s="174"/>
      <c r="J19" s="276">
        <f>IF(ISNUMBER(G19),G19,IF(G19="",E19,""))</f>
        <v>0</v>
      </c>
      <c r="K19" s="171"/>
    </row>
    <row r="20" spans="1:11" ht="15.75">
      <c r="A20" s="27" t="s">
        <v>63</v>
      </c>
      <c r="B20" s="185">
        <f>IF(ISNUMBER(Calculations!B27),Calculations!B27,"not applicable")</f>
        <v>25.19038613053613</v>
      </c>
      <c r="C20" s="185">
        <f>IF('Data entry screen'!D20="None","",Calculations!C27)</f>
      </c>
      <c r="D20" s="197">
        <f t="shared" si="0"/>
        <v>0</v>
      </c>
      <c r="E20" s="209">
        <f>IF('Data entry screen'!$B$14="High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IF(ISNUMBER(Calculations!B30),Calculations!B30,"not applicable")</f>
        <v>17.08412631842649</v>
      </c>
      <c r="C21" s="19">
        <f>IF(AND(OR('Data entry screen'!B14="High crop, standard",'Data entry screen'!B14="High crop, intensive contact with treated crop",'Data entry screen'!B14="Low crop, intensive contact with treated crop"),'Data entry screen'!D23="Impervious clothing"),Calculations!C30,"")</f>
      </c>
      <c r="D21" s="198">
        <f t="shared" si="0"/>
        <v>0</v>
      </c>
      <c r="E21" s="186">
        <f>IF('Data entry screen'!$B$14="High crop, intensive contact with treated crop","",B21*$D21/$B$7)</f>
        <v>0</v>
      </c>
      <c r="F21" s="73">
        <f>IF(F9="T-shirt + shorts","",IF(AND('Data entry screen'!D23="Impervious clothing",OR('Data entry screen'!B14="Low crop, intensive contact with treated crop",'Data entry screen'!B14="High crop, intensive contact with treated crop")),"",IF(OR(AND('Data entry screen'!B14="High crop, standard",'Data entry screen'!D23="Coverall"),'Data entry screen'!B14="Low crop, standard",'Data entry screen'!B14="Low crop, intensive contact with treated crop",'Data entry screen'!B14="High crop, intensive contact with treated crop"),"",Calculations!D30)))</f>
      </c>
      <c r="G21" s="201">
        <f>IF(F9="T-shirt + shorts","",IF(F9="Coverall","",IF(AND(OR('Data entry screen'!B14="Low crop, intensive contact with treated crop",'Data entry screen'!B14="High crop, intensive contact with treated crop"),F9="Impervious clothing"),C21*D21/$B$7,IF('Data entry screen'!B14="Low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278">
        <f>IF(D27="","",IF(C27=0,"",D27*C27/100))</f>
      </c>
      <c r="F27" s="101">
        <f>IF(ISNUMBER(G17),G17,IF(AND(ISNUMBER(E17),OR(ISNUMBER(G16),ISNUMBER(G18),ISNUMBER(G19),ISNUMBER(G20),ISNUMBER(G21))),E17,""))</f>
      </c>
      <c r="G27" s="103">
        <f>IF(C27=0,"",IF(ISNUMBER(F27),F27*C27/100,""))</f>
      </c>
      <c r="I27" s="177"/>
      <c r="J27" s="177"/>
      <c r="K27" s="171"/>
    </row>
    <row r="28" spans="1:11" ht="15.75">
      <c r="A28" s="68"/>
      <c r="B28" s="114" t="s">
        <v>4</v>
      </c>
      <c r="C28" s="271">
        <f>B10</f>
        <v>0</v>
      </c>
      <c r="D28" s="101">
        <f>IF('Data entry screen'!$B$14="High crop, intensive contact with treated crop","",SUM(E19:E21))</f>
        <v>0</v>
      </c>
      <c r="E28" s="103">
        <f>IF('Data entry screen'!B14="High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78"/>
      <c r="J31" s="179"/>
      <c r="K31" s="171"/>
    </row>
    <row r="32" spans="1:7" ht="15.75">
      <c r="A32" s="10" t="s">
        <v>378</v>
      </c>
      <c r="B32" s="10"/>
      <c r="C32" s="28"/>
      <c r="D32" s="102" t="s">
        <v>334</v>
      </c>
      <c r="E32" s="102"/>
      <c r="F32" s="102"/>
      <c r="G32" s="102"/>
    </row>
    <row r="33" spans="1:8" ht="96.75"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G17" formula="1"/>
    <ignoredError sqref="E3" unlockedFormula="1"/>
  </ignoredErrors>
  <legacyDrawingHF r:id="rId1"/>
</worksheet>
</file>

<file path=xl/worksheets/sheet12.xml><?xml version="1.0" encoding="utf-8"?>
<worksheet xmlns="http://schemas.openxmlformats.org/spreadsheetml/2006/main" xmlns:r="http://schemas.openxmlformats.org/officeDocument/2006/relationships">
  <sheetPr codeName="Tabelle17">
    <pageSetUpPr fitToPage="1"/>
  </sheetPr>
  <dimension ref="A1:K41"/>
  <sheetViews>
    <sheetView zoomScale="70" zoomScaleNormal="70" zoomScalePageLayoutView="0" workbookViewId="0" topLeftCell="A1">
      <selection activeCell="F21" sqref="F21"/>
    </sheetView>
  </sheetViews>
  <sheetFormatPr defaultColWidth="11.421875" defaultRowHeight="12.75"/>
  <cols>
    <col min="1" max="1" width="24.8515625" style="3" customWidth="1"/>
    <col min="2" max="2" width="17.28125" style="3" bestFit="1" customWidth="1"/>
    <col min="3" max="3" width="14.28125" style="3" customWidth="1"/>
    <col min="4" max="4" width="18.5742187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screen'!B25</f>
        <v>Operator exposure estimate: Greenhouse model. High crop, standard</v>
      </c>
      <c r="B1" s="2"/>
      <c r="C1" s="2"/>
      <c r="I1" s="171" t="str">
        <f>'Data entry screen'!B25</f>
        <v>High crop, standard</v>
      </c>
    </row>
    <row r="2" spans="1:7" ht="15.75">
      <c r="A2" s="4" t="s">
        <v>6</v>
      </c>
      <c r="B2" s="70" t="str">
        <f>'Data entry screen'!$B$3</f>
        <v>Dummy</v>
      </c>
      <c r="C2" s="5"/>
      <c r="D2" s="6"/>
      <c r="E2" s="6"/>
      <c r="F2" s="6"/>
      <c r="G2" s="7"/>
    </row>
    <row r="3" spans="1:7" ht="15.75">
      <c r="A3" s="7" t="s">
        <v>24</v>
      </c>
      <c r="B3" s="66" t="str">
        <f>'Data entry screen'!$D$6</f>
        <v>Substance 3</v>
      </c>
      <c r="C3" s="8"/>
      <c r="D3" s="15" t="s">
        <v>92</v>
      </c>
      <c r="E3" s="75">
        <f>'Data entry screen'!D7</f>
        <v>0</v>
      </c>
      <c r="F3" s="3" t="s">
        <v>93</v>
      </c>
      <c r="G3" s="7"/>
    </row>
    <row r="4" spans="1:7" ht="15.75">
      <c r="A4" s="7" t="s">
        <v>5</v>
      </c>
      <c r="B4" s="66" t="str">
        <f>'Data entry screen'!$B$4</f>
        <v>WG</v>
      </c>
      <c r="C4" s="9"/>
      <c r="D4" s="15" t="s">
        <v>11</v>
      </c>
      <c r="E4" s="8" t="s">
        <v>25</v>
      </c>
      <c r="F4" s="8" t="str">
        <f>'Data entry screen'!B31</f>
        <v>None</v>
      </c>
      <c r="G4" s="25"/>
    </row>
    <row r="5" spans="1:7" ht="15.75">
      <c r="A5" s="7" t="s">
        <v>88</v>
      </c>
      <c r="B5" s="12">
        <f>'Data entry screen'!B26</f>
        <v>0</v>
      </c>
      <c r="C5" s="8"/>
      <c r="D5" s="8"/>
      <c r="E5" s="8" t="s">
        <v>26</v>
      </c>
      <c r="F5" s="8" t="str">
        <f>'Data entry screen'!B32</f>
        <v>None</v>
      </c>
      <c r="G5" s="25"/>
    </row>
    <row r="6" spans="1:7" ht="15.75">
      <c r="A6" s="7" t="s">
        <v>7</v>
      </c>
      <c r="B6" s="13">
        <f>'Data entry screen'!B28</f>
        <v>1</v>
      </c>
      <c r="C6" s="14"/>
      <c r="D6" s="15" t="s">
        <v>12</v>
      </c>
      <c r="E6" s="8" t="s">
        <v>25</v>
      </c>
      <c r="F6" s="8" t="str">
        <f>'Data entry screen'!D30</f>
        <v>None</v>
      </c>
      <c r="G6" s="7"/>
    </row>
    <row r="7" spans="1:7" ht="15.75">
      <c r="A7" s="7" t="s">
        <v>78</v>
      </c>
      <c r="B7" s="13">
        <f>'Data entry screen'!B5</f>
        <v>70</v>
      </c>
      <c r="C7" s="16"/>
      <c r="E7" s="8" t="s">
        <v>26</v>
      </c>
      <c r="F7" s="8" t="str">
        <f>'Data entry screen'!D31</f>
        <v>None</v>
      </c>
      <c r="G7" s="7"/>
    </row>
    <row r="8" spans="1:7" ht="15.75">
      <c r="A8" s="7" t="s">
        <v>53</v>
      </c>
      <c r="B8" s="13">
        <f>'Data entry screen'!D8</f>
        <v>0</v>
      </c>
      <c r="C8" s="8"/>
      <c r="E8" s="8" t="s">
        <v>27</v>
      </c>
      <c r="F8" s="8" t="str">
        <f>'Data entry screen'!D32</f>
        <v>None</v>
      </c>
      <c r="G8" s="7"/>
    </row>
    <row r="9" spans="1:7" ht="15.75">
      <c r="A9" s="7" t="s">
        <v>52</v>
      </c>
      <c r="B9" s="71">
        <f>'Data entry screen'!D10</f>
        <v>0</v>
      </c>
      <c r="C9" s="8" t="s">
        <v>79</v>
      </c>
      <c r="D9" s="10"/>
      <c r="E9" s="8" t="s">
        <v>28</v>
      </c>
      <c r="F9" s="8" t="str">
        <f>'Data entry screen'!D34</f>
        <v>Coverall</v>
      </c>
      <c r="G9" s="7"/>
    </row>
    <row r="10" spans="1:7" ht="15.75">
      <c r="A10" s="17"/>
      <c r="B10" s="72">
        <f>'Data entry screen'!D11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Calculations!C36</f>
        <v>0.013343799427581531</v>
      </c>
      <c r="C16" s="185"/>
      <c r="D16" s="197">
        <f aca="true" t="shared" si="0" ref="D16:D21">$E$3*$B$5*$B$6/1000</f>
        <v>0</v>
      </c>
      <c r="E16" s="208">
        <f>B16*$D16/$B$7</f>
        <v>0</v>
      </c>
      <c r="F16" s="12">
        <f>IF('Data entry screen'!B31="None","",Calculations!D36)</f>
      </c>
      <c r="G16" s="200">
        <f>IF(F4="None","",B16*F16*$D16/$B$7)</f>
      </c>
      <c r="H16" s="29" t="s">
        <v>31</v>
      </c>
      <c r="I16" s="173"/>
      <c r="J16" s="171"/>
      <c r="K16" s="171"/>
    </row>
    <row r="17" spans="1:11" ht="15.75">
      <c r="A17" s="27" t="s">
        <v>61</v>
      </c>
      <c r="B17" s="185">
        <f>Calculations!B39</f>
        <v>2.2951175335732805</v>
      </c>
      <c r="C17" s="185">
        <f>IF('Data entry screen'!B32="None","",Calculations!C39)</f>
      </c>
      <c r="D17" s="197">
        <f t="shared" si="0"/>
        <v>0</v>
      </c>
      <c r="E17" s="208">
        <f>B17*$D17/$B$7</f>
        <v>0</v>
      </c>
      <c r="F17" s="12"/>
      <c r="G17" s="200">
        <f>IF(F5="None","",C17*$D17/$B$7)</f>
      </c>
      <c r="H17" s="29" t="s">
        <v>36</v>
      </c>
      <c r="I17" s="174"/>
      <c r="J17" s="171"/>
      <c r="K17" s="171"/>
    </row>
    <row r="18" spans="1:11" ht="15.75">
      <c r="A18" s="27" t="s">
        <v>86</v>
      </c>
      <c r="B18" s="185">
        <f>Calculations!B42</f>
        <v>0.6769548608495896</v>
      </c>
      <c r="C18" s="185"/>
      <c r="D18" s="197">
        <f t="shared" si="0"/>
        <v>0</v>
      </c>
      <c r="E18" s="208">
        <f>B18*$D18/$B$7</f>
        <v>0</v>
      </c>
      <c r="F18" s="12">
        <f>IF('Data entry screen'!D30="None","",Calculations!D42)</f>
      </c>
      <c r="G18" s="200">
        <f>IF(F6="None","",B18*F18*$D18/$B$7)</f>
      </c>
      <c r="H18" s="29" t="s">
        <v>32</v>
      </c>
      <c r="I18" s="174"/>
      <c r="J18" s="171"/>
      <c r="K18" s="171"/>
    </row>
    <row r="19" spans="1:11" ht="15.75">
      <c r="A19" s="27" t="s">
        <v>62</v>
      </c>
      <c r="B19" s="185">
        <f>Calculations!B45</f>
        <v>0.806060606060606</v>
      </c>
      <c r="C19" s="185"/>
      <c r="D19" s="197">
        <f t="shared" si="0"/>
        <v>0</v>
      </c>
      <c r="E19" s="208">
        <f>B19*$D19/$B$7</f>
        <v>0</v>
      </c>
      <c r="F19" s="12">
        <f>IF(AND('Data entry screen'!D30="None",'Data entry screen'!D32="None"),"",Calculations!D45)</f>
      </c>
      <c r="G19" s="200">
        <f>IF(AND(F8="None",F6="None"),"",B19*F19*$D19/$B$7)</f>
      </c>
      <c r="H19" s="29" t="s">
        <v>34</v>
      </c>
      <c r="I19" s="174"/>
      <c r="J19" s="276">
        <f>IF(ISNUMBER(G19),G19,IF(G19="",E19,""))</f>
        <v>0</v>
      </c>
      <c r="K19" s="171"/>
    </row>
    <row r="20" spans="1:11" ht="15.75">
      <c r="A20" s="27" t="s">
        <v>63</v>
      </c>
      <c r="B20" s="185">
        <f>IF(ISNUMBER(Calculations!B48),Calculations!B48,"not applicable")</f>
        <v>25.19038613053613</v>
      </c>
      <c r="C20" s="185">
        <f>IF('Data entry screen'!D31="None","",Calculations!C48)</f>
      </c>
      <c r="D20" s="197">
        <f t="shared" si="0"/>
        <v>0</v>
      </c>
      <c r="E20" s="209">
        <f>IF('Data entry screen'!$B$25="High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shorts","",IF(ISNUMBER(Calculations!B51),Calculations!B51,"not applicable"))</f>
        <v>17.08412631842649</v>
      </c>
      <c r="C21" s="19">
        <f>IF(AND(OR('Data entry screen'!B25="High crop, standard",'Data entry screen'!B25="High crop, intensive contact with treated crop",'Data entry screen'!B25="Low crop, intensive contact with treated crop"),'Data entry screen'!D34="Impervious clothing"),Calculations!C51,"")</f>
      </c>
      <c r="D21" s="198">
        <f t="shared" si="0"/>
        <v>0</v>
      </c>
      <c r="E21" s="186">
        <f>IF('Data entry screen'!$B$25="High crop, intensive contact with treated crop","",B21*$D21/$B$7)</f>
        <v>0</v>
      </c>
      <c r="F21" s="73">
        <f>IF(F9="T-shirt + shorts","",IF(AND('Data entry screen'!D34="Impervious clothing",OR('Data entry screen'!B25="Low crop, intensive contact with treated crop",'Data entry screen'!B25="High crop, intensive contact with treated crop")),"",IF(OR(AND('Data entry screen'!B25="High crop, standard",'Data entry screen'!D34="Coverall"),'Data entry screen'!B25="Low crop, standard",'Data entry screen'!B25="Low crop, intensive contact with treated crop",'Data entry screen'!B25="High crop, intensive contact with treated crop"),"",Calculations!D51)))</f>
      </c>
      <c r="G21" s="201">
        <f>IF(F9="T-shirt + shorts","",IF(F9="Coverall","",IF(AND(OR('Data entry screen'!B25="Low crop, intensive contact with treated crop",'Data entry screen'!B25="High crop, intensive contact with treated crop"),F9="Impervious clothing"),C21*D21/$B$7,IF('Data entry screen'!B25="Low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278">
        <f>IF(D27="","",IF(C27=0,"",D27*C27/100))</f>
      </c>
      <c r="F27" s="101">
        <f>IF(ISNUMBER(G17),G17,IF(AND(ISNUMBER(E17),OR(ISNUMBER(G16),ISNUMBER(G18),ISNUMBER(G19),ISNUMBER(G20),ISNUMBER(G21))),E17,""))</f>
      </c>
      <c r="G27" s="103">
        <f>IF(C27=0,"",IF(ISNUMBER(F27),F27*C27/100,""))</f>
      </c>
      <c r="I27" s="177"/>
      <c r="J27" s="177"/>
      <c r="K27" s="171"/>
    </row>
    <row r="28" spans="1:11" ht="15.75">
      <c r="A28" s="68"/>
      <c r="B28" s="114" t="s">
        <v>4</v>
      </c>
      <c r="C28" s="271">
        <f>B10</f>
        <v>0</v>
      </c>
      <c r="D28" s="101">
        <f>IF(F9="T-shirt + shorts","",IF('Data entry screen'!$B$25="High crop, intensive contact with treated crop","",SUM(E19:E21)))</f>
        <v>0</v>
      </c>
      <c r="E28" s="103">
        <f>IF(D28="","",IF('Data entry screen'!B25="High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78"/>
      <c r="J31" s="179"/>
      <c r="K31" s="171"/>
    </row>
    <row r="32" spans="1:7" ht="15.75">
      <c r="A32" s="10" t="s">
        <v>378</v>
      </c>
      <c r="B32" s="10"/>
      <c r="C32" s="28"/>
      <c r="D32" s="102" t="s">
        <v>334</v>
      </c>
      <c r="E32" s="102"/>
      <c r="F32" s="102"/>
      <c r="G32" s="102"/>
    </row>
    <row r="33" spans="1:8" ht="97.5"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G17" formula="1"/>
    <ignoredError sqref="E3" unlockedFormula="1"/>
  </ignoredErrors>
  <legacyDrawingHF r:id="rId1"/>
</worksheet>
</file>

<file path=xl/worksheets/sheet13.xml><?xml version="1.0" encoding="utf-8"?>
<worksheet xmlns="http://schemas.openxmlformats.org/spreadsheetml/2006/main" xmlns:r="http://schemas.openxmlformats.org/officeDocument/2006/relationships">
  <sheetPr codeName="Tabelle18">
    <pageSetUpPr fitToPage="1"/>
  </sheetPr>
  <dimension ref="A1:K42"/>
  <sheetViews>
    <sheetView zoomScale="75" zoomScaleNormal="75" zoomScalePageLayoutView="0" workbookViewId="0" topLeftCell="A1">
      <selection activeCell="G21" sqref="G21"/>
    </sheetView>
  </sheetViews>
  <sheetFormatPr defaultColWidth="11.421875" defaultRowHeight="12.75"/>
  <cols>
    <col min="1" max="1" width="26.00390625" style="3" customWidth="1"/>
    <col min="2" max="2" width="17.28125" style="3" bestFit="1" customWidth="1"/>
    <col min="3" max="3" width="13.00390625" style="3" customWidth="1"/>
    <col min="4" max="4" width="18.5742187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screen'!B36</f>
        <v>Operator exposure estimate: Greenhouse model. High crop, standard</v>
      </c>
      <c r="B1" s="2"/>
      <c r="C1" s="2"/>
      <c r="I1" s="171" t="str">
        <f>'Data entry screen'!B36</f>
        <v>High crop, standard</v>
      </c>
    </row>
    <row r="2" spans="1:7" ht="15.75">
      <c r="A2" s="4" t="s">
        <v>6</v>
      </c>
      <c r="B2" s="70" t="str">
        <f>'Data entry screen'!$B$3</f>
        <v>Dummy</v>
      </c>
      <c r="C2" s="5"/>
      <c r="D2" s="6"/>
      <c r="E2" s="6"/>
      <c r="F2" s="6"/>
      <c r="G2" s="7"/>
    </row>
    <row r="3" spans="1:7" ht="15.75">
      <c r="A3" s="7" t="s">
        <v>24</v>
      </c>
      <c r="B3" s="66" t="str">
        <f>'Data entry screen'!$D$6</f>
        <v>Substance 3</v>
      </c>
      <c r="C3" s="8"/>
      <c r="D3" s="15" t="s">
        <v>92</v>
      </c>
      <c r="E3" s="75">
        <f>'Data entry screen'!D7</f>
        <v>0</v>
      </c>
      <c r="F3" s="3" t="s">
        <v>93</v>
      </c>
      <c r="G3" s="7"/>
    </row>
    <row r="4" spans="1:7" ht="15.75">
      <c r="A4" s="7" t="s">
        <v>5</v>
      </c>
      <c r="B4" s="66" t="str">
        <f>'Data entry screen'!$B$4</f>
        <v>WG</v>
      </c>
      <c r="C4" s="9"/>
      <c r="D4" s="15" t="s">
        <v>11</v>
      </c>
      <c r="E4" s="8" t="s">
        <v>25</v>
      </c>
      <c r="F4" s="8" t="str">
        <f>'Data entry screen'!B42</f>
        <v>None</v>
      </c>
      <c r="G4" s="25"/>
    </row>
    <row r="5" spans="1:7" ht="15.75">
      <c r="A5" s="7" t="s">
        <v>88</v>
      </c>
      <c r="B5" s="12">
        <f>'Data entry screen'!B37</f>
        <v>0</v>
      </c>
      <c r="C5" s="8"/>
      <c r="D5" s="8"/>
      <c r="E5" s="8" t="s">
        <v>26</v>
      </c>
      <c r="F5" s="8" t="str">
        <f>'Data entry screen'!B43</f>
        <v>None</v>
      </c>
      <c r="G5" s="25"/>
    </row>
    <row r="6" spans="1:7" ht="15.75">
      <c r="A6" s="7" t="s">
        <v>7</v>
      </c>
      <c r="B6" s="13">
        <f>'Data entry screen'!B39</f>
        <v>1</v>
      </c>
      <c r="C6" s="14"/>
      <c r="D6" s="15" t="s">
        <v>12</v>
      </c>
      <c r="E6" s="8" t="s">
        <v>25</v>
      </c>
      <c r="F6" s="8" t="str">
        <f>'Data entry screen'!D41</f>
        <v>None</v>
      </c>
      <c r="G6" s="7"/>
    </row>
    <row r="7" spans="1:7" ht="15.75">
      <c r="A7" s="7" t="s">
        <v>78</v>
      </c>
      <c r="B7" s="13">
        <f>'Data entry screen'!B5</f>
        <v>70</v>
      </c>
      <c r="C7" s="16"/>
      <c r="E7" s="8" t="s">
        <v>26</v>
      </c>
      <c r="F7" s="8" t="str">
        <f>'Data entry screen'!D42</f>
        <v>None</v>
      </c>
      <c r="G7" s="7"/>
    </row>
    <row r="8" spans="1:7" ht="15.75">
      <c r="A8" s="7" t="s">
        <v>53</v>
      </c>
      <c r="B8" s="13">
        <f>'Data entry screen'!D8</f>
        <v>0</v>
      </c>
      <c r="C8" s="8"/>
      <c r="E8" s="8" t="s">
        <v>27</v>
      </c>
      <c r="F8" s="8" t="str">
        <f>'Data entry screen'!D43</f>
        <v>None</v>
      </c>
      <c r="G8" s="7"/>
    </row>
    <row r="9" spans="1:7" ht="15.75">
      <c r="A9" s="7" t="s">
        <v>52</v>
      </c>
      <c r="B9" s="71">
        <f>'Data entry screen'!D10</f>
        <v>0</v>
      </c>
      <c r="C9" s="8" t="s">
        <v>79</v>
      </c>
      <c r="D9" s="10"/>
      <c r="E9" s="8" t="s">
        <v>28</v>
      </c>
      <c r="F9" s="8" t="str">
        <f>'Data entry screen'!D45</f>
        <v>Coverall</v>
      </c>
      <c r="G9" s="7"/>
    </row>
    <row r="10" spans="1:7" ht="15.75">
      <c r="A10" s="17"/>
      <c r="B10" s="72">
        <f>'Data entry screen'!D11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Calculations!C57</f>
        <v>0.013343799427581531</v>
      </c>
      <c r="C16" s="185"/>
      <c r="D16" s="197">
        <f aca="true" t="shared" si="0" ref="D16:D21">$E$3*$B$5*$B$6/1000</f>
        <v>0</v>
      </c>
      <c r="E16" s="208">
        <f>B16*$D16/$B$7</f>
        <v>0</v>
      </c>
      <c r="F16" s="12">
        <f>IF('Data entry screen'!B42="None","",Calculations!D57)</f>
      </c>
      <c r="G16" s="200">
        <f>IF(F4="None","",B16*F16*$D16/$B$7)</f>
      </c>
      <c r="H16" s="29" t="s">
        <v>31</v>
      </c>
      <c r="I16" s="173"/>
      <c r="J16" s="171"/>
      <c r="K16" s="171"/>
    </row>
    <row r="17" spans="1:11" ht="15.75">
      <c r="A17" s="27" t="s">
        <v>61</v>
      </c>
      <c r="B17" s="185">
        <f>Calculations!B60</f>
        <v>2.2951175335732805</v>
      </c>
      <c r="C17" s="185">
        <f>IF('Data entry screen'!B43="None","",Calculations!C60)</f>
      </c>
      <c r="D17" s="197">
        <f t="shared" si="0"/>
        <v>0</v>
      </c>
      <c r="E17" s="208">
        <f>B17*$D17/$B$7</f>
        <v>0</v>
      </c>
      <c r="F17" s="12"/>
      <c r="G17" s="200">
        <f>IF(F5="None","",C17*$D17/$B$7)</f>
      </c>
      <c r="H17" s="29" t="s">
        <v>36</v>
      </c>
      <c r="I17" s="174"/>
      <c r="J17" s="171"/>
      <c r="K17" s="171"/>
    </row>
    <row r="18" spans="1:11" ht="15.75">
      <c r="A18" s="27" t="s">
        <v>86</v>
      </c>
      <c r="B18" s="185">
        <f>Calculations!B63</f>
        <v>0.6769548608495896</v>
      </c>
      <c r="C18" s="185"/>
      <c r="D18" s="197">
        <f t="shared" si="0"/>
        <v>0</v>
      </c>
      <c r="E18" s="208">
        <f>B18*$D18/$B$7</f>
        <v>0</v>
      </c>
      <c r="F18" s="12">
        <f>IF('Data entry screen'!D41="None","",Calculations!D63)</f>
      </c>
      <c r="G18" s="200">
        <f>IF(F6="None","",B18*F18*$D18/$B$7)</f>
      </c>
      <c r="H18" s="29" t="s">
        <v>32</v>
      </c>
      <c r="I18" s="174"/>
      <c r="J18" s="171"/>
      <c r="K18" s="171"/>
    </row>
    <row r="19" spans="1:11" ht="15.75">
      <c r="A19" s="27" t="s">
        <v>62</v>
      </c>
      <c r="B19" s="185">
        <f>Calculations!B66</f>
        <v>0.806060606060606</v>
      </c>
      <c r="C19" s="185"/>
      <c r="D19" s="197">
        <f t="shared" si="0"/>
        <v>0</v>
      </c>
      <c r="E19" s="208">
        <f>B19*$D19/$B$7</f>
        <v>0</v>
      </c>
      <c r="F19" s="12">
        <f>IF(AND('Data entry screen'!D41="None",'Data entry screen'!D43="None"),"",Calculations!D66)</f>
      </c>
      <c r="G19" s="200">
        <f>IF(AND(F8="None",F6="None"),"",B19*F19*$D19/$B$7)</f>
      </c>
      <c r="H19" s="29" t="s">
        <v>34</v>
      </c>
      <c r="I19" s="174"/>
      <c r="J19" s="276">
        <f>IF(ISNUMBER(G19),G19,IF(G19="",E19,""))</f>
        <v>0</v>
      </c>
      <c r="K19" s="171"/>
    </row>
    <row r="20" spans="1:11" ht="15.75">
      <c r="A20" s="27" t="s">
        <v>63</v>
      </c>
      <c r="B20" s="185">
        <f>IF(ISNUMBER(Calculations!B69),Calculations!B69,"not applicable")</f>
        <v>25.19038613053613</v>
      </c>
      <c r="C20" s="185">
        <f>IF('Data entry screen'!D42="None","",Calculations!C69)</f>
      </c>
      <c r="D20" s="197">
        <f t="shared" si="0"/>
        <v>0</v>
      </c>
      <c r="E20" s="209">
        <f>IF('Data entry screen'!$B$36="High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shorts","",IF(ISNUMBER(Calculations!B72),Calculations!B72,"not applicable"))</f>
        <v>17.08412631842649</v>
      </c>
      <c r="C21" s="19">
        <f>IF(AND(OR('Data entry screen'!B36="High crop, standard",'Data entry screen'!B36="High crop, intensive contact with treated crop",'Data entry screen'!B36="Low crop, intensive contact with treated crop"),'Data entry screen'!D45="Impervious clothing"),Calculations!C72,"")</f>
      </c>
      <c r="D21" s="198">
        <f t="shared" si="0"/>
        <v>0</v>
      </c>
      <c r="E21" s="186">
        <f>IF('Data entry screen'!$B$36="High crop, intensive contact with treated crop","",B21*$D21/$B$7)</f>
        <v>0</v>
      </c>
      <c r="F21" s="73">
        <f>IF(F9="T-shirt + shorts","",IF(AND('Data entry screen'!D45="Impervious clothing",OR('Data entry screen'!B36="Low crop, intensive contact with treated crop",'Data entry screen'!B36="High crop, intensive contact with treated crop")),"",IF(OR(AND('Data entry screen'!B36="High crop, standard",'Data entry screen'!D45="Coverall"),'Data entry screen'!B36="Low crop, standard",'Data entry screen'!B36="Low crop, intensive contact with treated crop",'Data entry screen'!B36="High crop, intensive contact with treated crop"),"",Calculations!D72)))</f>
      </c>
      <c r="G21" s="201">
        <f>IF(F9="T-shirt + shorts","",IF(F9="Coverall","",IF(AND(OR('Data entry screen'!B36="Low crop, intensive contact with treated crop",'Data entry screen'!B36="High crop, intensive contact with treated crop"),F9="Impervious clothing"),C21*D21/$B$7,IF('Data entry screen'!B36="Low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464">
        <f>IF(D27="","",IF(C27=0,"",D27*C27/100))</f>
      </c>
      <c r="F27" s="101">
        <f>IF(ISNUMBER(G17),G17,IF(AND(ISNUMBER(E17),OR(ISNUMBER(G16),ISNUMBER(G18),ISNUMBER(G19),ISNUMBER(G20),ISNUMBER(G21))),E17,""))</f>
      </c>
      <c r="G27" s="103">
        <f>IF(C27=0,"",IF(ISNUMBER(F27),F27*C27/100,""))</f>
      </c>
      <c r="I27" s="177"/>
      <c r="J27" s="177"/>
      <c r="K27" s="171"/>
    </row>
    <row r="28" spans="1:11" ht="15.75" customHeight="1">
      <c r="A28" s="68"/>
      <c r="B28" s="114" t="s">
        <v>4</v>
      </c>
      <c r="C28" s="271">
        <f>B10</f>
        <v>0</v>
      </c>
      <c r="D28" s="101">
        <f>IF(F9="T-shirt + shorts","",IF('Data entry screen'!$B$36="High crop, intensive contact with treated crop","",SUM(E19:E21)))</f>
        <v>0</v>
      </c>
      <c r="E28" s="103">
        <f>IF(D28="","",IF('Data entry screen'!B36="High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78"/>
      <c r="J31" s="179"/>
      <c r="K31" s="171"/>
    </row>
    <row r="32" spans="1:7" ht="15.75">
      <c r="A32" s="10" t="s">
        <v>378</v>
      </c>
      <c r="B32" s="10"/>
      <c r="C32" s="28"/>
      <c r="D32" s="102" t="s">
        <v>334</v>
      </c>
      <c r="E32" s="102"/>
      <c r="F32" s="102"/>
      <c r="G32" s="102"/>
    </row>
    <row r="33" spans="1:8" ht="96.75"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row r="42" spans="4:7" ht="15.75">
      <c r="D42" s="168"/>
      <c r="E42" s="168"/>
      <c r="F42" s="168"/>
      <c r="G42" s="168"/>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G17" formula="1"/>
    <ignoredError sqref="E3" unlockedFormula="1"/>
  </ignoredErrors>
  <legacyDrawingHF r:id="rId1"/>
</worksheet>
</file>

<file path=xl/worksheets/sheet14.xml><?xml version="1.0" encoding="utf-8"?>
<worksheet xmlns="http://schemas.openxmlformats.org/spreadsheetml/2006/main" xmlns:r="http://schemas.openxmlformats.org/officeDocument/2006/relationships">
  <sheetPr codeName="Tabelle19">
    <pageSetUpPr fitToPage="1"/>
  </sheetPr>
  <dimension ref="A1:K42"/>
  <sheetViews>
    <sheetView zoomScale="75" zoomScaleNormal="75" zoomScalePageLayoutView="0" workbookViewId="0" topLeftCell="A1">
      <selection activeCell="G21" sqref="G21"/>
    </sheetView>
  </sheetViews>
  <sheetFormatPr defaultColWidth="11.421875" defaultRowHeight="12.75"/>
  <cols>
    <col min="1" max="1" width="25.421875" style="3" customWidth="1"/>
    <col min="2" max="2" width="17.28125" style="3" bestFit="1" customWidth="1"/>
    <col min="3" max="3" width="13.28125" style="3" customWidth="1"/>
    <col min="4" max="4" width="19.0039062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screen'!B47</f>
        <v>Operator exposure estimate: Greenhouse model. High crop, standard</v>
      </c>
      <c r="B1" s="2"/>
      <c r="C1" s="2"/>
      <c r="I1" s="171" t="str">
        <f>'Data entry screen'!B47</f>
        <v>High crop, standard</v>
      </c>
    </row>
    <row r="2" spans="1:7" ht="15.75">
      <c r="A2" s="4" t="s">
        <v>6</v>
      </c>
      <c r="B2" s="70" t="str">
        <f>'Data entry screen'!$B$3</f>
        <v>Dummy</v>
      </c>
      <c r="C2" s="5"/>
      <c r="D2" s="6"/>
      <c r="E2" s="6"/>
      <c r="F2" s="6"/>
      <c r="G2" s="7"/>
    </row>
    <row r="3" spans="1:7" ht="15.75">
      <c r="A3" s="7" t="s">
        <v>24</v>
      </c>
      <c r="B3" s="66" t="str">
        <f>'Data entry screen'!$D$6</f>
        <v>Substance 3</v>
      </c>
      <c r="C3" s="8"/>
      <c r="D3" s="15" t="s">
        <v>92</v>
      </c>
      <c r="E3" s="75">
        <f>'Data entry screen'!D7</f>
        <v>0</v>
      </c>
      <c r="F3" s="3" t="s">
        <v>93</v>
      </c>
      <c r="G3" s="7"/>
    </row>
    <row r="4" spans="1:7" ht="15.75">
      <c r="A4" s="7" t="s">
        <v>5</v>
      </c>
      <c r="B4" s="66" t="str">
        <f>'Data entry screen'!$B$4</f>
        <v>WG</v>
      </c>
      <c r="C4" s="9"/>
      <c r="D4" s="15" t="s">
        <v>11</v>
      </c>
      <c r="E4" s="8" t="s">
        <v>25</v>
      </c>
      <c r="F4" s="8" t="str">
        <f>'Data entry screen'!B53</f>
        <v>None</v>
      </c>
      <c r="G4" s="25"/>
    </row>
    <row r="5" spans="1:7" ht="15.75">
      <c r="A5" s="7" t="s">
        <v>88</v>
      </c>
      <c r="B5" s="12">
        <f>'Data entry screen'!B48</f>
        <v>0</v>
      </c>
      <c r="C5" s="8"/>
      <c r="D5" s="8"/>
      <c r="E5" s="8" t="s">
        <v>26</v>
      </c>
      <c r="F5" s="8" t="str">
        <f>'Data entry screen'!B54</f>
        <v>None</v>
      </c>
      <c r="G5" s="25"/>
    </row>
    <row r="6" spans="1:7" ht="15.75">
      <c r="A6" s="7" t="s">
        <v>7</v>
      </c>
      <c r="B6" s="13">
        <f>'Data entry screen'!B50</f>
        <v>1</v>
      </c>
      <c r="C6" s="14"/>
      <c r="D6" s="15" t="s">
        <v>12</v>
      </c>
      <c r="E6" s="8" t="s">
        <v>25</v>
      </c>
      <c r="F6" s="8" t="str">
        <f>'Data entry screen'!D52</f>
        <v>None</v>
      </c>
      <c r="G6" s="7"/>
    </row>
    <row r="7" spans="1:7" ht="15.75">
      <c r="A7" s="7" t="s">
        <v>78</v>
      </c>
      <c r="B7" s="13">
        <f>'Data entry screen'!B5</f>
        <v>70</v>
      </c>
      <c r="C7" s="16"/>
      <c r="E7" s="8" t="s">
        <v>26</v>
      </c>
      <c r="F7" s="8" t="str">
        <f>'Data entry screen'!D53</f>
        <v>None</v>
      </c>
      <c r="G7" s="7"/>
    </row>
    <row r="8" spans="1:7" ht="15.75">
      <c r="A8" s="7" t="s">
        <v>53</v>
      </c>
      <c r="B8" s="13">
        <f>'Data entry screen'!D8</f>
        <v>0</v>
      </c>
      <c r="C8" s="8"/>
      <c r="E8" s="8" t="s">
        <v>27</v>
      </c>
      <c r="F8" s="8" t="str">
        <f>'Data entry screen'!D54</f>
        <v>None</v>
      </c>
      <c r="G8" s="7"/>
    </row>
    <row r="9" spans="1:7" ht="15.75">
      <c r="A9" s="7" t="s">
        <v>52</v>
      </c>
      <c r="B9" s="71">
        <f>'Data entry screen'!D10</f>
        <v>0</v>
      </c>
      <c r="C9" s="8" t="s">
        <v>79</v>
      </c>
      <c r="D9" s="10"/>
      <c r="E9" s="8" t="s">
        <v>28</v>
      </c>
      <c r="F9" s="8" t="str">
        <f>'Data entry screen'!D56</f>
        <v>Coverall</v>
      </c>
      <c r="G9" s="7"/>
    </row>
    <row r="10" spans="1:7" ht="15.75">
      <c r="A10" s="17"/>
      <c r="B10" s="72">
        <f>'Data entry screen'!D11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Calculations!C78</f>
        <v>0.013343799427581531</v>
      </c>
      <c r="C16" s="185"/>
      <c r="D16" s="197">
        <f aca="true" t="shared" si="0" ref="D16:D21">$E$3*$B$5*$B$6/1000</f>
        <v>0</v>
      </c>
      <c r="E16" s="208">
        <f>B16*$D16/$B$7</f>
        <v>0</v>
      </c>
      <c r="F16" s="12">
        <f>IF('Data entry screen'!B53="None","",Calculations!D78)</f>
      </c>
      <c r="G16" s="200">
        <f>IF(F4="None","",B16*F16*$D16/$B$7)</f>
      </c>
      <c r="H16" s="29" t="s">
        <v>31</v>
      </c>
      <c r="I16" s="173"/>
      <c r="J16" s="171"/>
      <c r="K16" s="171"/>
    </row>
    <row r="17" spans="1:11" ht="15.75">
      <c r="A17" s="27" t="s">
        <v>61</v>
      </c>
      <c r="B17" s="185">
        <f>Calculations!B81</f>
        <v>2.2951175335732805</v>
      </c>
      <c r="C17" s="185">
        <f>IF('Data entry screen'!B54="None","",Calculations!C81)</f>
      </c>
      <c r="D17" s="197">
        <f t="shared" si="0"/>
        <v>0</v>
      </c>
      <c r="E17" s="208">
        <f>B17*$D17/$B$7</f>
        <v>0</v>
      </c>
      <c r="F17" s="12"/>
      <c r="G17" s="200">
        <f>IF(F5="None","",C17*$D17/$B$7)</f>
      </c>
      <c r="H17" s="29" t="s">
        <v>36</v>
      </c>
      <c r="I17" s="174"/>
      <c r="J17" s="171"/>
      <c r="K17" s="171"/>
    </row>
    <row r="18" spans="1:11" ht="15.75">
      <c r="A18" s="27" t="s">
        <v>86</v>
      </c>
      <c r="B18" s="185">
        <f>Calculations!B84</f>
        <v>0.6769548608495896</v>
      </c>
      <c r="C18" s="185"/>
      <c r="D18" s="197">
        <f t="shared" si="0"/>
        <v>0</v>
      </c>
      <c r="E18" s="208">
        <f>B18*$D18/$B$7</f>
        <v>0</v>
      </c>
      <c r="F18" s="12">
        <f>IF('Data entry screen'!D52="None","",Calculations!D84)</f>
      </c>
      <c r="G18" s="200">
        <f>IF(F6="None","",B18*F18*$D18/$B$7)</f>
      </c>
      <c r="H18" s="29" t="s">
        <v>32</v>
      </c>
      <c r="I18" s="174"/>
      <c r="J18" s="171"/>
      <c r="K18" s="171"/>
    </row>
    <row r="19" spans="1:11" ht="15.75">
      <c r="A19" s="27" t="s">
        <v>62</v>
      </c>
      <c r="B19" s="185">
        <f>Calculations!B87</f>
        <v>0.806060606060606</v>
      </c>
      <c r="C19" s="185"/>
      <c r="D19" s="197">
        <f t="shared" si="0"/>
        <v>0</v>
      </c>
      <c r="E19" s="208">
        <f>B19*$D19/$B$7</f>
        <v>0</v>
      </c>
      <c r="F19" s="12">
        <f>IF(AND('Data entry screen'!D52="None",'Data entry screen'!D54="None"),"",Calculations!D87)</f>
      </c>
      <c r="G19" s="200">
        <f>IF(AND(F8="None",F6="None"),"",B19*F19*$D19/$B$7)</f>
      </c>
      <c r="H19" s="29" t="s">
        <v>34</v>
      </c>
      <c r="I19" s="174"/>
      <c r="J19" s="276">
        <f>IF(ISNUMBER(G19),G19,IF(G19="",E19,""))</f>
        <v>0</v>
      </c>
      <c r="K19" s="171"/>
    </row>
    <row r="20" spans="1:11" ht="15.75">
      <c r="A20" s="27" t="s">
        <v>63</v>
      </c>
      <c r="B20" s="185">
        <f>IF(ISNUMBER(Calculations!B90),Calculations!B90,"not applicable")</f>
        <v>25.19038613053613</v>
      </c>
      <c r="C20" s="185">
        <f>IF('Data entry screen'!D53="None","",Calculations!C90)</f>
      </c>
      <c r="D20" s="197">
        <f t="shared" si="0"/>
        <v>0</v>
      </c>
      <c r="E20" s="209">
        <f>IF('Data entry screen'!$B$47="High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shorts","",IF(ISNUMBER(Calculations!B93),Calculations!B93,"not applicable"))</f>
        <v>17.08412631842649</v>
      </c>
      <c r="C21" s="19">
        <f>IF(AND(OR('Data entry screen'!B47="High crop, standard",'Data entry screen'!B47="High crop, intensive contact with treated crop",'Data entry screen'!B47="Low crop, intensive contact with treated crop"),'Data entry screen'!D56="Impervious clothing"),Calculations!C93,"")</f>
      </c>
      <c r="D21" s="198">
        <f t="shared" si="0"/>
        <v>0</v>
      </c>
      <c r="E21" s="186">
        <f>IF('Data entry screen'!$B$47="High crop, intensive contact with treated crop","",B21*$D21/$B$7)</f>
        <v>0</v>
      </c>
      <c r="F21" s="73">
        <f>IF(F9="T-shirt + shorts","",IF(AND('Data entry screen'!D56="Impervious clothing",OR('Data entry screen'!B47="Low crop, intensive contact with treated crop",'Data entry screen'!B47="High crop, intensive contact with treated crop")),"",IF(OR(AND('Data entry screen'!B47="High crop, standard",'Data entry screen'!D56="Coverall"),'Data entry screen'!B47="Low crop, standard",'Data entry screen'!B47="Low crop, intensive contact with treated crop",'Data entry screen'!B47="High crop, intensive contact with treated crop"),"",Calculations!D93)))</f>
      </c>
      <c r="G21" s="201">
        <f>IF(F9="T-shirt + shorts","",IF(F9="Coverall","",IF(AND(OR('Data entry screen'!B47="Low crop, intensive contact with treated crop",'Data entry screen'!B47="High crop, intensive contact with treated crop"),F9="Impervious clothing"),C21*D21/$B$7,IF('Data entry screen'!B47="Low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278">
        <f>IF(D27="","",IF(C27=0,"",D27*C27/100))</f>
      </c>
      <c r="F27" s="101">
        <f>IF(ISNUMBER(G17),G17,IF(AND(ISNUMBER(E17),OR(ISNUMBER(G16),ISNUMBER(G18),ISNUMBER(G19),ISNUMBER(G20),ISNUMBER(G21))),E17,""))</f>
      </c>
      <c r="G27" s="103">
        <f>IF(C27=0,"",IF(ISNUMBER(F27),F27*C27/100,""))</f>
      </c>
      <c r="I27" s="177"/>
      <c r="J27" s="177"/>
      <c r="K27" s="171"/>
    </row>
    <row r="28" spans="1:11" ht="15.75" customHeight="1">
      <c r="A28" s="68"/>
      <c r="B28" s="114" t="s">
        <v>4</v>
      </c>
      <c r="C28" s="271">
        <f>B10</f>
        <v>0</v>
      </c>
      <c r="D28" s="101">
        <f>IF(F9="T-shirt + shorts","",IF('Data entry screen'!$B$47="High crop, intensive contact with treated crop","",SUM(E19:E21)))</f>
        <v>0</v>
      </c>
      <c r="E28" s="103">
        <f>IF(D28="","",IF('Data entry screen'!B47="High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78"/>
      <c r="J31" s="179"/>
      <c r="K31" s="171"/>
    </row>
    <row r="32" spans="1:7" ht="15.75">
      <c r="A32" s="10" t="s">
        <v>378</v>
      </c>
      <c r="B32" s="10"/>
      <c r="C32" s="28"/>
      <c r="D32" s="102" t="s">
        <v>334</v>
      </c>
      <c r="E32" s="102"/>
      <c r="F32" s="102"/>
      <c r="G32" s="102"/>
    </row>
    <row r="33" spans="1:8" ht="96"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row r="42" spans="4:7" ht="15.75">
      <c r="D42" s="168"/>
      <c r="E42" s="168"/>
      <c r="F42" s="168"/>
      <c r="G42" s="168"/>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G17" formula="1"/>
    <ignoredError sqref="E3" unlockedFormula="1"/>
  </ignoredErrors>
  <legacyDrawingHF r:id="rId1"/>
</worksheet>
</file>

<file path=xl/worksheets/sheet15.xml><?xml version="1.0" encoding="utf-8"?>
<worksheet xmlns="http://schemas.openxmlformats.org/spreadsheetml/2006/main" xmlns:r="http://schemas.openxmlformats.org/officeDocument/2006/relationships">
  <sheetPr codeName="Tabelle7">
    <pageSetUpPr fitToPage="1"/>
  </sheetPr>
  <dimension ref="A1:K41"/>
  <sheetViews>
    <sheetView zoomScale="75" zoomScaleNormal="75" zoomScalePageLayoutView="0" workbookViewId="0" topLeftCell="A1">
      <selection activeCell="F22" sqref="F22"/>
    </sheetView>
  </sheetViews>
  <sheetFormatPr defaultColWidth="11.421875" defaultRowHeight="12.75"/>
  <cols>
    <col min="1" max="1" width="24.7109375" style="3" customWidth="1"/>
    <col min="2" max="2" width="17.28125" style="3" bestFit="1" customWidth="1"/>
    <col min="3" max="3" width="13.7109375" style="3" customWidth="1"/>
    <col min="4" max="4" width="19.421875" style="3" customWidth="1"/>
    <col min="5" max="7" width="16.7109375" style="3" customWidth="1"/>
    <col min="8" max="8" width="16.00390625" style="3" bestFit="1" customWidth="1"/>
    <col min="9" max="9" width="14.8515625" style="3" bestFit="1" customWidth="1"/>
    <col min="10" max="10" width="15.140625" style="3" bestFit="1" customWidth="1"/>
    <col min="11" max="16384" width="11.421875" style="3" customWidth="1"/>
  </cols>
  <sheetData>
    <row r="1" spans="1:9" ht="15.75">
      <c r="A1" s="1" t="str">
        <f>"Operator exposure estimate: Greenhouse model. "&amp;'Data entry screen'!B14</f>
        <v>Operator exposure estimate: Greenhouse model. High crop, standard</v>
      </c>
      <c r="B1" s="2"/>
      <c r="C1" s="2"/>
      <c r="I1" s="171" t="str">
        <f>'Data entry screen'!B14</f>
        <v>High crop, standard</v>
      </c>
    </row>
    <row r="2" spans="1:7" ht="15.75">
      <c r="A2" s="4" t="s">
        <v>6</v>
      </c>
      <c r="B2" s="70" t="str">
        <f>'Data entry screen'!$B$3</f>
        <v>Dummy</v>
      </c>
      <c r="C2" s="5"/>
      <c r="D2" s="6"/>
      <c r="E2" s="6"/>
      <c r="F2" s="6"/>
      <c r="G2" s="7"/>
    </row>
    <row r="3" spans="1:7" ht="15.75">
      <c r="A3" s="7" t="s">
        <v>24</v>
      </c>
      <c r="B3" s="66" t="str">
        <f>'Data entry screen'!$E$6</f>
        <v>Substance 4</v>
      </c>
      <c r="C3" s="8"/>
      <c r="D3" s="15" t="s">
        <v>92</v>
      </c>
      <c r="E3" s="75">
        <f>'Data entry screen'!E7</f>
        <v>0</v>
      </c>
      <c r="F3" s="3" t="s">
        <v>93</v>
      </c>
      <c r="G3" s="7"/>
    </row>
    <row r="4" spans="1:7" ht="15.75">
      <c r="A4" s="7" t="s">
        <v>5</v>
      </c>
      <c r="B4" s="66" t="str">
        <f>'Data entry screen'!$B$4</f>
        <v>WG</v>
      </c>
      <c r="C4" s="9"/>
      <c r="D4" s="15" t="s">
        <v>11</v>
      </c>
      <c r="E4" s="8" t="s">
        <v>25</v>
      </c>
      <c r="F4" s="8" t="str">
        <f>'Data entry screen'!B20</f>
        <v>None</v>
      </c>
      <c r="G4" s="25"/>
    </row>
    <row r="5" spans="1:7" ht="15.75">
      <c r="A5" s="7" t="s">
        <v>88</v>
      </c>
      <c r="B5" s="12">
        <f>'Data entry screen'!B15</f>
        <v>0</v>
      </c>
      <c r="C5" s="8"/>
      <c r="D5" s="8"/>
      <c r="E5" s="8" t="s">
        <v>26</v>
      </c>
      <c r="F5" s="8" t="str">
        <f>'Data entry screen'!B21</f>
        <v>None</v>
      </c>
      <c r="G5" s="25"/>
    </row>
    <row r="6" spans="1:7" ht="15.75">
      <c r="A6" s="7" t="s">
        <v>7</v>
      </c>
      <c r="B6" s="13">
        <f>'Data entry screen'!B17</f>
        <v>1</v>
      </c>
      <c r="C6" s="14"/>
      <c r="D6" s="15" t="s">
        <v>12</v>
      </c>
      <c r="E6" s="8" t="s">
        <v>25</v>
      </c>
      <c r="F6" s="8" t="str">
        <f>'Data entry screen'!D19</f>
        <v>None</v>
      </c>
      <c r="G6" s="7"/>
    </row>
    <row r="7" spans="1:7" ht="15.75">
      <c r="A7" s="7" t="s">
        <v>78</v>
      </c>
      <c r="B7" s="13">
        <f>'Data entry screen'!B5</f>
        <v>70</v>
      </c>
      <c r="C7" s="16"/>
      <c r="E7" s="8" t="s">
        <v>26</v>
      </c>
      <c r="F7" s="8" t="str">
        <f>'Data entry screen'!D20</f>
        <v>None</v>
      </c>
      <c r="G7" s="7"/>
    </row>
    <row r="8" spans="1:7" ht="15.75">
      <c r="A8" s="7" t="s">
        <v>53</v>
      </c>
      <c r="B8" s="13">
        <f>'Data entry screen'!E8</f>
        <v>0</v>
      </c>
      <c r="C8" s="8"/>
      <c r="E8" s="8" t="s">
        <v>27</v>
      </c>
      <c r="F8" s="8" t="str">
        <f>'Data entry screen'!D21</f>
        <v>None</v>
      </c>
      <c r="G8" s="7"/>
    </row>
    <row r="9" spans="1:7" ht="15.75">
      <c r="A9" s="7" t="s">
        <v>52</v>
      </c>
      <c r="B9" s="71">
        <f>'Data entry screen'!E10</f>
        <v>0</v>
      </c>
      <c r="C9" s="8" t="s">
        <v>79</v>
      </c>
      <c r="D9" s="10"/>
      <c r="E9" s="8" t="s">
        <v>28</v>
      </c>
      <c r="F9" s="8" t="str">
        <f>'Data entry screen'!D23</f>
        <v>Coverall</v>
      </c>
      <c r="G9" s="7"/>
    </row>
    <row r="10" spans="1:7" ht="15.75">
      <c r="A10" s="17"/>
      <c r="B10" s="72">
        <f>'Data entry screen'!E11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Calculations!C15</f>
        <v>0.013343799427581531</v>
      </c>
      <c r="C16" s="185"/>
      <c r="D16" s="197">
        <f aca="true" t="shared" si="0" ref="D16:D21">$E$3*$B$5*$B$6/1000</f>
        <v>0</v>
      </c>
      <c r="E16" s="208">
        <f>B16*$D16/$B$7</f>
        <v>0</v>
      </c>
      <c r="F16" s="12">
        <f>IF('Data entry screen'!B20="None","",Calculations!D15)</f>
      </c>
      <c r="G16" s="200">
        <f>IF(F4="None","",B16*F16*$D16/$B$7)</f>
      </c>
      <c r="H16" s="29" t="s">
        <v>31</v>
      </c>
      <c r="I16" s="173"/>
      <c r="J16" s="171"/>
      <c r="K16" s="171"/>
    </row>
    <row r="17" spans="1:11" ht="15.75">
      <c r="A17" s="27" t="s">
        <v>61</v>
      </c>
      <c r="B17" s="185">
        <f>Calculations!B18</f>
        <v>2.2951175335732805</v>
      </c>
      <c r="C17" s="185">
        <f>IF('Data entry screen'!B21="None","",Calculations!C18)</f>
      </c>
      <c r="D17" s="197">
        <f t="shared" si="0"/>
        <v>0</v>
      </c>
      <c r="E17" s="208">
        <f>B17*$D17/$B$7</f>
        <v>0</v>
      </c>
      <c r="F17" s="12"/>
      <c r="G17" s="200">
        <f>IF(F5="None","",C17*$D17/$B$7)</f>
      </c>
      <c r="H17" s="29" t="s">
        <v>36</v>
      </c>
      <c r="I17" s="174"/>
      <c r="J17" s="171"/>
      <c r="K17" s="171"/>
    </row>
    <row r="18" spans="1:11" ht="15.75">
      <c r="A18" s="27" t="s">
        <v>86</v>
      </c>
      <c r="B18" s="185">
        <f>Calculations!B21</f>
        <v>0.6769548608495896</v>
      </c>
      <c r="C18" s="185"/>
      <c r="D18" s="197">
        <f t="shared" si="0"/>
        <v>0</v>
      </c>
      <c r="E18" s="208">
        <f>B18*$D18/$B$7</f>
        <v>0</v>
      </c>
      <c r="F18" s="12">
        <f>IF('Data entry screen'!D19="None","",Calculations!D21)</f>
      </c>
      <c r="G18" s="200">
        <f>IF(F6="None","",B18*F18*$D18/$B$7)</f>
      </c>
      <c r="H18" s="29" t="s">
        <v>32</v>
      </c>
      <c r="I18" s="174"/>
      <c r="J18" s="171"/>
      <c r="K18" s="171"/>
    </row>
    <row r="19" spans="1:11" ht="15.75">
      <c r="A19" s="27" t="s">
        <v>62</v>
      </c>
      <c r="B19" s="185">
        <f>Calculations!B24</f>
        <v>0.806060606060606</v>
      </c>
      <c r="C19" s="185"/>
      <c r="D19" s="197">
        <f t="shared" si="0"/>
        <v>0</v>
      </c>
      <c r="E19" s="208">
        <f>B19*$D19/$B$7</f>
        <v>0</v>
      </c>
      <c r="F19" s="12">
        <f>IF(AND('Data entry screen'!D19="None",'Data entry screen'!D21="None"),"",Calculations!D24)</f>
      </c>
      <c r="G19" s="200">
        <f>IF(AND(F8="None",F6="None"),"",B19*F19*$D19/$B$7)</f>
      </c>
      <c r="H19" s="29" t="s">
        <v>34</v>
      </c>
      <c r="I19" s="174"/>
      <c r="J19" s="276">
        <f>IF(ISNUMBER(G19),G19,IF(G19="",E19,""))</f>
        <v>0</v>
      </c>
      <c r="K19" s="171"/>
    </row>
    <row r="20" spans="1:11" ht="15.75">
      <c r="A20" s="27" t="s">
        <v>63</v>
      </c>
      <c r="B20" s="185">
        <f>IF(ISNUMBER(Calculations!B27),Calculations!B27,"not applicable")</f>
        <v>25.19038613053613</v>
      </c>
      <c r="C20" s="185">
        <f>IF('Data entry screen'!D20="None","",Calculations!C27)</f>
      </c>
      <c r="D20" s="197">
        <f t="shared" si="0"/>
        <v>0</v>
      </c>
      <c r="E20" s="209">
        <f>IF('Data entry screen'!$B$14="High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IF(ISNUMBER(Calculations!B30),Calculations!B30,"not applicable")</f>
        <v>17.08412631842649</v>
      </c>
      <c r="C21" s="19">
        <f>IF(AND(OR('Data entry screen'!B14="High crop, standard",'Data entry screen'!B14="High crop, intensive contact with treated crop",'Data entry screen'!B14="Low crop, intensive contact with treated crop"),'Data entry screen'!D23="Impervious clothing"),Calculations!C30,"")</f>
      </c>
      <c r="D21" s="198">
        <f t="shared" si="0"/>
        <v>0</v>
      </c>
      <c r="E21" s="186">
        <f>IF('Data entry screen'!$B$14="High crop, intensive contact with treated crop","",B21*$D21/$B$7)</f>
        <v>0</v>
      </c>
      <c r="F21" s="73">
        <f>IF(F9="T-shirt + shorts","",IF(AND('Data entry screen'!D23="Impervious clothing",OR('Data entry screen'!B14="Low crop, intensive contact with treated crop",'Data entry screen'!B14="High crop, intensive contact with treated crop")),"",IF(OR(AND('Data entry screen'!B14="High crop, standard",'Data entry screen'!D23="Coverall"),'Data entry screen'!B14="Low crop, standard",'Data entry screen'!B14="Low crop, intensive contact with treated crop",'Data entry screen'!B14="High crop, intensive contact with treated crop"),"",Calculations!D30)))</f>
      </c>
      <c r="G21" s="201">
        <f>IF(F9="T-shirt + shorts","",IF(F9="Coverall","",IF(AND(OR('Data entry screen'!B14="Low crop, intensive contact with treated crop",'Data entry screen'!B14="High crop, intensive contact with treated crop"),F9="Impervious clothing"),C21*D21/$B$7,IF('Data entry screen'!B14="Low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278">
        <f>IF(D27="","",IF(C27=0,"",D27*C27/100))</f>
      </c>
      <c r="F27" s="101">
        <f>IF(ISNUMBER(G17),G17,IF(AND(ISNUMBER(E17),OR(ISNUMBER(G16),ISNUMBER(G18),ISNUMBER(G19),ISNUMBER(G20),ISNUMBER(G21))),E17,""))</f>
      </c>
      <c r="G27" s="103">
        <f>IF(C27=0,"",IF(ISNUMBER(F27),F27*C27/100,""))</f>
      </c>
      <c r="I27" s="177"/>
      <c r="J27" s="177"/>
      <c r="K27" s="171"/>
    </row>
    <row r="28" spans="1:11" ht="15.75">
      <c r="A28" s="68"/>
      <c r="B28" s="114" t="s">
        <v>4</v>
      </c>
      <c r="C28" s="271">
        <f>B10</f>
        <v>0</v>
      </c>
      <c r="D28" s="101">
        <f>IF('Data entry screen'!$B$14="High crop, intensive contact with treated crop","",SUM(E19:E21))</f>
        <v>0</v>
      </c>
      <c r="E28" s="103">
        <f>IF('Data entry screen'!B14="High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80"/>
      <c r="J31" s="179"/>
      <c r="K31" s="171"/>
    </row>
    <row r="32" spans="1:11" ht="15.75">
      <c r="A32" s="10" t="s">
        <v>378</v>
      </c>
      <c r="B32" s="10"/>
      <c r="C32" s="28"/>
      <c r="D32" s="102" t="s">
        <v>334</v>
      </c>
      <c r="E32" s="102"/>
      <c r="F32" s="102"/>
      <c r="G32" s="102"/>
      <c r="I32" s="171"/>
      <c r="J32" s="171"/>
      <c r="K32" s="171"/>
    </row>
    <row r="33" spans="1:8" ht="96"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G17" formula="1"/>
    <ignoredError sqref="E3" unlockedFormula="1"/>
  </ignoredErrors>
  <legacyDrawingHF r:id="rId1"/>
</worksheet>
</file>

<file path=xl/worksheets/sheet16.xml><?xml version="1.0" encoding="utf-8"?>
<worksheet xmlns="http://schemas.openxmlformats.org/spreadsheetml/2006/main" xmlns:r="http://schemas.openxmlformats.org/officeDocument/2006/relationships">
  <sheetPr codeName="Tabelle11">
    <pageSetUpPr fitToPage="1"/>
  </sheetPr>
  <dimension ref="A1:K41"/>
  <sheetViews>
    <sheetView zoomScale="75" zoomScaleNormal="75" zoomScalePageLayoutView="0" workbookViewId="0" topLeftCell="A1">
      <selection activeCell="G21" sqref="G21"/>
    </sheetView>
  </sheetViews>
  <sheetFormatPr defaultColWidth="11.421875" defaultRowHeight="12.75"/>
  <cols>
    <col min="1" max="1" width="24.7109375" style="3" customWidth="1"/>
    <col min="2" max="2" width="17.28125" style="3" bestFit="1" customWidth="1"/>
    <col min="3" max="3" width="13.7109375" style="3" customWidth="1"/>
    <col min="4" max="4" width="19.5742187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screen'!B25</f>
        <v>Operator exposure estimate: Greenhouse model. High crop, standard</v>
      </c>
      <c r="B1" s="2"/>
      <c r="C1" s="2"/>
      <c r="I1" s="171" t="str">
        <f>'Data entry screen'!B25</f>
        <v>High crop, standard</v>
      </c>
    </row>
    <row r="2" spans="1:7" ht="15.75">
      <c r="A2" s="4" t="s">
        <v>6</v>
      </c>
      <c r="B2" s="70" t="str">
        <f>'Data entry screen'!$B$3</f>
        <v>Dummy</v>
      </c>
      <c r="C2" s="5"/>
      <c r="D2" s="6"/>
      <c r="E2" s="6"/>
      <c r="F2" s="6"/>
      <c r="G2" s="7"/>
    </row>
    <row r="3" spans="1:7" ht="15.75">
      <c r="A3" s="7" t="s">
        <v>24</v>
      </c>
      <c r="B3" s="66" t="str">
        <f>'Data entry screen'!$E$6</f>
        <v>Substance 4</v>
      </c>
      <c r="C3" s="8"/>
      <c r="D3" s="15" t="s">
        <v>92</v>
      </c>
      <c r="E3" s="75">
        <f>'Data entry screen'!E7</f>
        <v>0</v>
      </c>
      <c r="F3" s="3" t="s">
        <v>93</v>
      </c>
      <c r="G3" s="7"/>
    </row>
    <row r="4" spans="1:7" ht="15.75">
      <c r="A4" s="7" t="s">
        <v>5</v>
      </c>
      <c r="B4" s="66" t="str">
        <f>'Data entry screen'!$B$4</f>
        <v>WG</v>
      </c>
      <c r="C4" s="9"/>
      <c r="D4" s="15" t="s">
        <v>11</v>
      </c>
      <c r="E4" s="8" t="s">
        <v>25</v>
      </c>
      <c r="F4" s="8" t="str">
        <f>'Data entry screen'!B31</f>
        <v>None</v>
      </c>
      <c r="G4" s="25"/>
    </row>
    <row r="5" spans="1:7" ht="15.75">
      <c r="A5" s="7" t="s">
        <v>88</v>
      </c>
      <c r="B5" s="12">
        <f>'Data entry screen'!B26</f>
        <v>0</v>
      </c>
      <c r="C5" s="8"/>
      <c r="D5" s="8"/>
      <c r="E5" s="8" t="s">
        <v>26</v>
      </c>
      <c r="F5" s="8" t="str">
        <f>'Data entry screen'!B32</f>
        <v>None</v>
      </c>
      <c r="G5" s="25"/>
    </row>
    <row r="6" spans="1:7" ht="15.75">
      <c r="A6" s="7" t="s">
        <v>7</v>
      </c>
      <c r="B6" s="13">
        <f>'Data entry screen'!B28</f>
        <v>1</v>
      </c>
      <c r="C6" s="14"/>
      <c r="D6" s="15" t="s">
        <v>12</v>
      </c>
      <c r="E6" s="8" t="s">
        <v>25</v>
      </c>
      <c r="F6" s="8" t="str">
        <f>'Data entry screen'!D30</f>
        <v>None</v>
      </c>
      <c r="G6" s="7"/>
    </row>
    <row r="7" spans="1:7" ht="15.75">
      <c r="A7" s="7" t="s">
        <v>78</v>
      </c>
      <c r="B7" s="13">
        <f>'Data entry screen'!B5</f>
        <v>70</v>
      </c>
      <c r="C7" s="16"/>
      <c r="E7" s="8" t="s">
        <v>26</v>
      </c>
      <c r="F7" s="8" t="str">
        <f>'Data entry screen'!D31</f>
        <v>None</v>
      </c>
      <c r="G7" s="7"/>
    </row>
    <row r="8" spans="1:7" ht="15.75">
      <c r="A8" s="7" t="s">
        <v>53</v>
      </c>
      <c r="B8" s="13">
        <f>'Data entry screen'!E8</f>
        <v>0</v>
      </c>
      <c r="C8" s="8"/>
      <c r="E8" s="8" t="s">
        <v>27</v>
      </c>
      <c r="F8" s="8" t="str">
        <f>'Data entry screen'!D32</f>
        <v>None</v>
      </c>
      <c r="G8" s="7"/>
    </row>
    <row r="9" spans="1:7" ht="15.75">
      <c r="A9" s="7" t="s">
        <v>52</v>
      </c>
      <c r="B9" s="71">
        <f>'Data entry screen'!E10</f>
        <v>0</v>
      </c>
      <c r="C9" s="8" t="s">
        <v>79</v>
      </c>
      <c r="D9" s="10"/>
      <c r="E9" s="8" t="s">
        <v>28</v>
      </c>
      <c r="F9" s="8" t="str">
        <f>'Data entry screen'!D34</f>
        <v>Coverall</v>
      </c>
      <c r="G9" s="7"/>
    </row>
    <row r="10" spans="1:7" ht="15.75">
      <c r="A10" s="17"/>
      <c r="B10" s="72">
        <f>'Data entry screen'!E11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Calculations!C36</f>
        <v>0.013343799427581531</v>
      </c>
      <c r="C16" s="185"/>
      <c r="D16" s="197">
        <f aca="true" t="shared" si="0" ref="D16:D21">$E$3*$B$5*$B$6/1000</f>
        <v>0</v>
      </c>
      <c r="E16" s="208">
        <f>B16*$D16/$B$7</f>
        <v>0</v>
      </c>
      <c r="F16" s="12">
        <f>IF('Data entry screen'!B31="None","",Calculations!D36)</f>
      </c>
      <c r="G16" s="200">
        <f>IF(F4="None","",B16*F16*$D16/$B$7)</f>
      </c>
      <c r="H16" s="29" t="s">
        <v>31</v>
      </c>
      <c r="I16" s="173"/>
      <c r="J16" s="171"/>
      <c r="K16" s="171"/>
    </row>
    <row r="17" spans="1:11" ht="15.75">
      <c r="A17" s="27" t="s">
        <v>61</v>
      </c>
      <c r="B17" s="185">
        <f>Calculations!B39</f>
        <v>2.2951175335732805</v>
      </c>
      <c r="C17" s="185">
        <f>IF('Data entry screen'!B32="None","",Calculations!C39)</f>
      </c>
      <c r="D17" s="197">
        <f t="shared" si="0"/>
        <v>0</v>
      </c>
      <c r="E17" s="208">
        <f>B17*$D17/$B$7</f>
        <v>0</v>
      </c>
      <c r="F17" s="12"/>
      <c r="G17" s="200">
        <f>IF(F5="None","",C17*$D17/$B$7)</f>
      </c>
      <c r="H17" s="29" t="s">
        <v>36</v>
      </c>
      <c r="I17" s="174"/>
      <c r="J17" s="171"/>
      <c r="K17" s="171"/>
    </row>
    <row r="18" spans="1:11" ht="15.75">
      <c r="A18" s="27" t="s">
        <v>86</v>
      </c>
      <c r="B18" s="185">
        <f>Calculations!B42</f>
        <v>0.6769548608495896</v>
      </c>
      <c r="C18" s="185"/>
      <c r="D18" s="197">
        <f t="shared" si="0"/>
        <v>0</v>
      </c>
      <c r="E18" s="208">
        <f>B18*$D18/$B$7</f>
        <v>0</v>
      </c>
      <c r="F18" s="12">
        <f>IF('Data entry screen'!D30="None","",Calculations!D42)</f>
      </c>
      <c r="G18" s="200">
        <f>IF(F6="None","",B18*F18*$D18/$B$7)</f>
      </c>
      <c r="H18" s="29" t="s">
        <v>32</v>
      </c>
      <c r="I18" s="174"/>
      <c r="J18" s="171"/>
      <c r="K18" s="171"/>
    </row>
    <row r="19" spans="1:11" ht="15.75">
      <c r="A19" s="27" t="s">
        <v>62</v>
      </c>
      <c r="B19" s="185">
        <f>Calculations!B45</f>
        <v>0.806060606060606</v>
      </c>
      <c r="C19" s="185"/>
      <c r="D19" s="197">
        <f t="shared" si="0"/>
        <v>0</v>
      </c>
      <c r="E19" s="208">
        <f>B19*$D19/$B$7</f>
        <v>0</v>
      </c>
      <c r="F19" s="12">
        <f>IF(AND('Data entry screen'!D30="None",'Data entry screen'!D32="None"),"",Calculations!D45)</f>
      </c>
      <c r="G19" s="200">
        <f>IF(AND(F8="None",F6="None"),"",B19*F19*$D19/$B$7)</f>
      </c>
      <c r="H19" s="29" t="s">
        <v>34</v>
      </c>
      <c r="I19" s="174"/>
      <c r="J19" s="276">
        <f>IF(ISNUMBER(G19),G19,IF(G19="",E19,""))</f>
        <v>0</v>
      </c>
      <c r="K19" s="171"/>
    </row>
    <row r="20" spans="1:11" ht="15.75">
      <c r="A20" s="27" t="s">
        <v>63</v>
      </c>
      <c r="B20" s="185">
        <f>IF(ISNUMBER(Calculations!B48),Calculations!B48,"not applicable")</f>
        <v>25.19038613053613</v>
      </c>
      <c r="C20" s="185">
        <f>IF('Data entry screen'!D31="None","",Calculations!C48)</f>
      </c>
      <c r="D20" s="197">
        <f t="shared" si="0"/>
        <v>0</v>
      </c>
      <c r="E20" s="209">
        <f>IF('Data entry screen'!$B$25="High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shorts","",IF(ISNUMBER(Calculations!B51),Calculations!B51,"not applicable"))</f>
        <v>17.08412631842649</v>
      </c>
      <c r="C21" s="19">
        <f>IF(AND(OR('Data entry screen'!B25="High crop, standard",'Data entry screen'!B25="High crop, intensive contact with treated crop",'Data entry screen'!B25="Low crop, intensive contact with treated crop"),'Data entry screen'!D34="Impervious clothing"),Calculations!C51,"")</f>
      </c>
      <c r="D21" s="198">
        <f t="shared" si="0"/>
        <v>0</v>
      </c>
      <c r="E21" s="186">
        <f>IF('Data entry screen'!$B$25="High crop, intensive contact with treated crop","",B21*$D21/$B$7)</f>
        <v>0</v>
      </c>
      <c r="F21" s="73">
        <f>IF(F9="T-shirt + shorts","",IF(AND('Data entry screen'!D34="Impervious clothing",OR('Data entry screen'!B25="Low crop, intensive contact with treated crop",'Data entry screen'!B25="High crop, intensive contact with treated crop")),"",IF(OR(AND('Data entry screen'!B25="High crop, standard",'Data entry screen'!D34="Coverall"),'Data entry screen'!B25="Low crop, standard",'Data entry screen'!B25="Low crop, intensive contact with treated crop",'Data entry screen'!B25="High crop, intensive contact with treated crop"),"",Calculations!D51)))</f>
      </c>
      <c r="G21" s="201">
        <f>IF(F9="T-shirt + shorts","",IF(F9="Coverall","",IF(AND(OR('Data entry screen'!B25="Low crop, intensive contact with treated crop",'Data entry screen'!B25="High crop, intensive contact with treated crop"),F9="Impervious clothing"),C21*D21/$B$7,IF('Data entry screen'!B25="Low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278">
        <f>IF(D27="","",IF(C27=0,"",D27*C27/100))</f>
      </c>
      <c r="F27" s="101">
        <f>IF(ISNUMBER(G17),G17,IF(AND(ISNUMBER(E17),OR(ISNUMBER(G16),ISNUMBER(G18),ISNUMBER(G19),ISNUMBER(G20),ISNUMBER(G21))),E17,""))</f>
      </c>
      <c r="G27" s="103">
        <f>IF(C27=0,"",IF(ISNUMBER(F27),F27*C27/100,""))</f>
      </c>
      <c r="I27" s="177"/>
      <c r="J27" s="177"/>
      <c r="K27" s="171"/>
    </row>
    <row r="28" spans="1:11" ht="15.75">
      <c r="A28" s="68"/>
      <c r="B28" s="114" t="s">
        <v>4</v>
      </c>
      <c r="C28" s="271">
        <f>B10</f>
        <v>0</v>
      </c>
      <c r="D28" s="101">
        <f>IF(F9="T-shirt + shorts","",IF('Data entry screen'!$B$25="High crop, intensive contact with treated crop","",SUM(E19:E21)))</f>
        <v>0</v>
      </c>
      <c r="E28" s="103">
        <f>IF(D28="","",IF('Data entry screen'!B25="High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80"/>
      <c r="J31" s="179"/>
      <c r="K31" s="171"/>
    </row>
    <row r="32" spans="1:7" ht="15.75">
      <c r="A32" s="10" t="s">
        <v>378</v>
      </c>
      <c r="B32" s="10"/>
      <c r="C32" s="28"/>
      <c r="D32" s="102" t="s">
        <v>334</v>
      </c>
      <c r="E32" s="102"/>
      <c r="F32" s="102"/>
      <c r="G32" s="102"/>
    </row>
    <row r="33" spans="1:8" ht="94.5"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G17" formula="1"/>
    <ignoredError sqref="E3" unlockedFormula="1"/>
  </ignoredErrors>
  <legacyDrawingHF r:id="rId1"/>
</worksheet>
</file>

<file path=xl/worksheets/sheet17.xml><?xml version="1.0" encoding="utf-8"?>
<worksheet xmlns="http://schemas.openxmlformats.org/spreadsheetml/2006/main" xmlns:r="http://schemas.openxmlformats.org/officeDocument/2006/relationships">
  <sheetPr codeName="Tabelle12">
    <pageSetUpPr fitToPage="1"/>
  </sheetPr>
  <dimension ref="A1:K42"/>
  <sheetViews>
    <sheetView zoomScale="75" zoomScaleNormal="75" zoomScalePageLayoutView="0" workbookViewId="0" topLeftCell="A1">
      <selection activeCell="G21" sqref="G21"/>
    </sheetView>
  </sheetViews>
  <sheetFormatPr defaultColWidth="11.421875" defaultRowHeight="12.75"/>
  <cols>
    <col min="1" max="1" width="24.8515625" style="3" customWidth="1"/>
    <col min="2" max="2" width="17.28125" style="3" bestFit="1" customWidth="1"/>
    <col min="3" max="3" width="13.421875" style="3" customWidth="1"/>
    <col min="4" max="4" width="19.42187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screen'!B36</f>
        <v>Operator exposure estimate: Greenhouse model. High crop, standard</v>
      </c>
      <c r="B1" s="2"/>
      <c r="C1" s="2"/>
      <c r="I1" s="171" t="str">
        <f>'Data entry screen'!B36</f>
        <v>High crop, standard</v>
      </c>
    </row>
    <row r="2" spans="1:7" ht="15.75">
      <c r="A2" s="4" t="s">
        <v>6</v>
      </c>
      <c r="B2" s="70" t="str">
        <f>'Data entry screen'!$B$3</f>
        <v>Dummy</v>
      </c>
      <c r="C2" s="5"/>
      <c r="D2" s="6"/>
      <c r="E2" s="6"/>
      <c r="F2" s="6"/>
      <c r="G2" s="7"/>
    </row>
    <row r="3" spans="1:7" ht="15.75">
      <c r="A3" s="7" t="s">
        <v>24</v>
      </c>
      <c r="B3" s="66" t="str">
        <f>'Data entry screen'!$E$6</f>
        <v>Substance 4</v>
      </c>
      <c r="C3" s="8"/>
      <c r="D3" s="15" t="s">
        <v>92</v>
      </c>
      <c r="E3" s="75">
        <f>'Data entry screen'!E7</f>
        <v>0</v>
      </c>
      <c r="F3" s="3" t="s">
        <v>93</v>
      </c>
      <c r="G3" s="7"/>
    </row>
    <row r="4" spans="1:7" ht="15.75">
      <c r="A4" s="7" t="s">
        <v>5</v>
      </c>
      <c r="B4" s="66" t="str">
        <f>'Data entry screen'!$B$4</f>
        <v>WG</v>
      </c>
      <c r="C4" s="9"/>
      <c r="D4" s="15" t="s">
        <v>11</v>
      </c>
      <c r="E4" s="8" t="s">
        <v>25</v>
      </c>
      <c r="F4" s="8" t="str">
        <f>'Data entry screen'!B42</f>
        <v>None</v>
      </c>
      <c r="G4" s="25"/>
    </row>
    <row r="5" spans="1:7" ht="15.75">
      <c r="A5" s="7" t="s">
        <v>88</v>
      </c>
      <c r="B5" s="12">
        <f>'Data entry screen'!B37</f>
        <v>0</v>
      </c>
      <c r="C5" s="8"/>
      <c r="D5" s="8"/>
      <c r="E5" s="8" t="s">
        <v>26</v>
      </c>
      <c r="F5" s="8" t="str">
        <f>'Data entry screen'!B43</f>
        <v>None</v>
      </c>
      <c r="G5" s="25"/>
    </row>
    <row r="6" spans="1:7" ht="15.75">
      <c r="A6" s="7" t="s">
        <v>7</v>
      </c>
      <c r="B6" s="13">
        <f>'Data entry screen'!B39</f>
        <v>1</v>
      </c>
      <c r="C6" s="14"/>
      <c r="D6" s="15" t="s">
        <v>12</v>
      </c>
      <c r="E6" s="8" t="s">
        <v>25</v>
      </c>
      <c r="F6" s="8" t="str">
        <f>'Data entry screen'!D41</f>
        <v>None</v>
      </c>
      <c r="G6" s="7"/>
    </row>
    <row r="7" spans="1:7" ht="15.75">
      <c r="A7" s="7" t="s">
        <v>78</v>
      </c>
      <c r="B7" s="13">
        <f>'Data entry screen'!B5</f>
        <v>70</v>
      </c>
      <c r="C7" s="16"/>
      <c r="E7" s="8" t="s">
        <v>26</v>
      </c>
      <c r="F7" s="8" t="str">
        <f>'Data entry screen'!D42</f>
        <v>None</v>
      </c>
      <c r="G7" s="7"/>
    </row>
    <row r="8" spans="1:7" ht="15.75">
      <c r="A8" s="7" t="s">
        <v>53</v>
      </c>
      <c r="B8" s="13">
        <f>'Data entry screen'!E8</f>
        <v>0</v>
      </c>
      <c r="C8" s="8"/>
      <c r="E8" s="8" t="s">
        <v>27</v>
      </c>
      <c r="F8" s="8" t="str">
        <f>'Data entry screen'!D43</f>
        <v>None</v>
      </c>
      <c r="G8" s="7"/>
    </row>
    <row r="9" spans="1:7" ht="15.75">
      <c r="A9" s="7" t="s">
        <v>52</v>
      </c>
      <c r="B9" s="71">
        <f>'Data entry screen'!E10</f>
        <v>0</v>
      </c>
      <c r="C9" s="8" t="s">
        <v>79</v>
      </c>
      <c r="D9" s="10"/>
      <c r="E9" s="8" t="s">
        <v>28</v>
      </c>
      <c r="F9" s="8" t="str">
        <f>'Data entry screen'!D45</f>
        <v>Coverall</v>
      </c>
      <c r="G9" s="7"/>
    </row>
    <row r="10" spans="1:7" ht="15.75">
      <c r="A10" s="17"/>
      <c r="B10" s="72">
        <f>'Data entry screen'!E11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Calculations!C57</f>
        <v>0.013343799427581531</v>
      </c>
      <c r="C16" s="185"/>
      <c r="D16" s="197">
        <f aca="true" t="shared" si="0" ref="D16:D21">$E$3*$B$5*$B$6/1000</f>
        <v>0</v>
      </c>
      <c r="E16" s="208">
        <f>B16*$D16/$B$7</f>
        <v>0</v>
      </c>
      <c r="F16" s="12">
        <f>IF('Data entry screen'!B42="None","",Calculations!D57)</f>
      </c>
      <c r="G16" s="200">
        <f>IF(F4="None","",B16*F16*$D16/$B$7)</f>
      </c>
      <c r="H16" s="29" t="s">
        <v>31</v>
      </c>
      <c r="I16" s="173"/>
      <c r="J16" s="171"/>
      <c r="K16" s="171"/>
    </row>
    <row r="17" spans="1:11" ht="15.75">
      <c r="A17" s="27" t="s">
        <v>61</v>
      </c>
      <c r="B17" s="185">
        <f>Calculations!B60</f>
        <v>2.2951175335732805</v>
      </c>
      <c r="C17" s="185">
        <f>IF('Data entry screen'!B43="None","",Calculations!C60)</f>
      </c>
      <c r="D17" s="197">
        <f t="shared" si="0"/>
        <v>0</v>
      </c>
      <c r="E17" s="208">
        <f>B17*$D17/$B$7</f>
        <v>0</v>
      </c>
      <c r="F17" s="12"/>
      <c r="G17" s="200">
        <f>IF(F5="None","",C17*$D17/$B$7)</f>
      </c>
      <c r="H17" s="29" t="s">
        <v>36</v>
      </c>
      <c r="I17" s="174"/>
      <c r="J17" s="171"/>
      <c r="K17" s="171"/>
    </row>
    <row r="18" spans="1:11" ht="15.75">
      <c r="A18" s="27" t="s">
        <v>86</v>
      </c>
      <c r="B18" s="185">
        <f>Calculations!B63</f>
        <v>0.6769548608495896</v>
      </c>
      <c r="C18" s="185"/>
      <c r="D18" s="197">
        <f t="shared" si="0"/>
        <v>0</v>
      </c>
      <c r="E18" s="208">
        <f>B18*$D18/$B$7</f>
        <v>0</v>
      </c>
      <c r="F18" s="12">
        <f>IF('Data entry screen'!D41="None","",Calculations!D63)</f>
      </c>
      <c r="G18" s="200">
        <f>IF(F6="None","",B18*F18*$D18/$B$7)</f>
      </c>
      <c r="H18" s="29" t="s">
        <v>32</v>
      </c>
      <c r="I18" s="174"/>
      <c r="J18" s="171"/>
      <c r="K18" s="171"/>
    </row>
    <row r="19" spans="1:11" ht="15.75">
      <c r="A19" s="27" t="s">
        <v>62</v>
      </c>
      <c r="B19" s="185">
        <f>Calculations!B66</f>
        <v>0.806060606060606</v>
      </c>
      <c r="C19" s="185"/>
      <c r="D19" s="197">
        <f t="shared" si="0"/>
        <v>0</v>
      </c>
      <c r="E19" s="208">
        <f>B19*$D19/$B$7</f>
        <v>0</v>
      </c>
      <c r="F19" s="12">
        <f>IF(AND('Data entry screen'!D41="None",'Data entry screen'!D43="None"),"",Calculations!D66)</f>
      </c>
      <c r="G19" s="200">
        <f>IF(AND(F8="None",F6="None"),"",B19*F19*$D19/$B$7)</f>
      </c>
      <c r="H19" s="29" t="s">
        <v>34</v>
      </c>
      <c r="I19" s="174"/>
      <c r="J19" s="276">
        <f>IF(ISNUMBER(G19),G19,IF(G19="",E19,""))</f>
        <v>0</v>
      </c>
      <c r="K19" s="171"/>
    </row>
    <row r="20" spans="1:11" ht="15.75">
      <c r="A20" s="27" t="s">
        <v>63</v>
      </c>
      <c r="B20" s="185">
        <f>IF(ISNUMBER(Calculations!B69),Calculations!B69,"not applicable")</f>
        <v>25.19038613053613</v>
      </c>
      <c r="C20" s="185">
        <f>IF('Data entry screen'!D42="None","",Calculations!C69)</f>
      </c>
      <c r="D20" s="197">
        <f t="shared" si="0"/>
        <v>0</v>
      </c>
      <c r="E20" s="209">
        <f>IF('Data entry screen'!$B$36="High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shorts","",IF(ISNUMBER(Calculations!B72),Calculations!B72,"not applicable"))</f>
        <v>17.08412631842649</v>
      </c>
      <c r="C21" s="19">
        <f>IF(AND(OR('Data entry screen'!B36="High crop, standard",'Data entry screen'!B36="High crop, intensive contact with treated crop",'Data entry screen'!B36="Low crop, intensive contact with treated crop"),'Data entry screen'!D45="Impervious clothing"),Calculations!C72,"")</f>
      </c>
      <c r="D21" s="198">
        <f t="shared" si="0"/>
        <v>0</v>
      </c>
      <c r="E21" s="186">
        <f>IF('Data entry screen'!$B$36="High crop, intensive contact with treated crop","",B21*$D21/$B$7)</f>
        <v>0</v>
      </c>
      <c r="F21" s="73">
        <f>IF(F9="T-shirt + shorts","",IF(AND('Data entry screen'!D45="Impervious clothing",OR('Data entry screen'!B36="Low crop, intensive contact with treated crop",'Data entry screen'!B36="High crop, intensive contact with treated crop")),"",IF(OR(AND('Data entry screen'!B36="High crop, standard",'Data entry screen'!D45="Coverall"),'Data entry screen'!B36="Low crop, standard",'Data entry screen'!B36="Low crop, intensive contact with treated crop",'Data entry screen'!B36="High crop, intensive contact with treated crop"),"",Calculations!D72)))</f>
      </c>
      <c r="G21" s="201">
        <f>IF(F9="T-shirt + shorts","",IF(F9="Coverall","",IF(AND(OR('Data entry screen'!B36="Low crop, intensive contact with treated crop",'Data entry screen'!B36="High crop, intensive contact with treated crop"),F9="Impervious clothing"),C21*D21/$B$7,IF('Data entry screen'!B36="Low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464">
        <f>IF(D27="","",IF(C27=0,"",D27*C27/100))</f>
      </c>
      <c r="F27" s="101">
        <f>IF(ISNUMBER(G17),G17,IF(AND(ISNUMBER(E17),OR(ISNUMBER(G16),ISNUMBER(G18),ISNUMBER(G19),ISNUMBER(G20),ISNUMBER(G21))),E17,""))</f>
      </c>
      <c r="G27" s="103">
        <f>IF(C27=0,"",IF(ISNUMBER(F27),F27*C27/100,""))</f>
      </c>
      <c r="I27" s="177"/>
      <c r="J27" s="177"/>
      <c r="K27" s="171"/>
    </row>
    <row r="28" spans="1:11" ht="15.75" customHeight="1">
      <c r="A28" s="68"/>
      <c r="B28" s="114" t="s">
        <v>4</v>
      </c>
      <c r="C28" s="271">
        <f>B10</f>
        <v>0</v>
      </c>
      <c r="D28" s="101">
        <f>IF(F9="T-shirt + shorts","",IF('Data entry screen'!$B$36="High crop, intensive contact with treated crop","",SUM(E19:E21)))</f>
        <v>0</v>
      </c>
      <c r="E28" s="103">
        <f>IF(D28="","",IF('Data entry screen'!B36="High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80"/>
      <c r="J31" s="179"/>
      <c r="K31" s="171"/>
    </row>
    <row r="32" spans="1:7" ht="15.75">
      <c r="A32" s="10" t="s">
        <v>378</v>
      </c>
      <c r="B32" s="10"/>
      <c r="C32" s="28"/>
      <c r="D32" s="102" t="s">
        <v>334</v>
      </c>
      <c r="E32" s="102"/>
      <c r="F32" s="102"/>
      <c r="G32" s="102"/>
    </row>
    <row r="33" spans="1:8" ht="96"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row r="42" spans="4:7" ht="15.75">
      <c r="D42" s="168"/>
      <c r="E42" s="168"/>
      <c r="F42" s="168"/>
      <c r="G42" s="168"/>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E3" unlockedFormula="1"/>
    <ignoredError sqref="G17" formula="1"/>
  </ignoredErrors>
  <legacyDrawingHF r:id="rId1"/>
</worksheet>
</file>

<file path=xl/worksheets/sheet18.xml><?xml version="1.0" encoding="utf-8"?>
<worksheet xmlns="http://schemas.openxmlformats.org/spreadsheetml/2006/main" xmlns:r="http://schemas.openxmlformats.org/officeDocument/2006/relationships">
  <sheetPr codeName="Tabelle13">
    <pageSetUpPr fitToPage="1"/>
  </sheetPr>
  <dimension ref="A1:K42"/>
  <sheetViews>
    <sheetView zoomScale="75" zoomScaleNormal="75" zoomScalePageLayoutView="0" workbookViewId="0" topLeftCell="A1">
      <selection activeCell="G21" sqref="G21"/>
    </sheetView>
  </sheetViews>
  <sheetFormatPr defaultColWidth="11.421875" defaultRowHeight="12.75"/>
  <cols>
    <col min="1" max="1" width="24.7109375" style="3" customWidth="1"/>
    <col min="2" max="2" width="17.28125" style="3" bestFit="1" customWidth="1"/>
    <col min="3" max="3" width="13.7109375" style="3" customWidth="1"/>
    <col min="4" max="4" width="19.5742187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screen'!B47</f>
        <v>Operator exposure estimate: Greenhouse model. High crop, standard</v>
      </c>
      <c r="B1" s="2"/>
      <c r="C1" s="2"/>
      <c r="I1" s="171" t="str">
        <f>'Data entry screen'!B47</f>
        <v>High crop, standard</v>
      </c>
    </row>
    <row r="2" spans="1:7" ht="15.75">
      <c r="A2" s="4" t="s">
        <v>6</v>
      </c>
      <c r="B2" s="70" t="str">
        <f>'Data entry screen'!$B$3</f>
        <v>Dummy</v>
      </c>
      <c r="C2" s="5"/>
      <c r="D2" s="6"/>
      <c r="E2" s="6"/>
      <c r="F2" s="6"/>
      <c r="G2" s="7"/>
    </row>
    <row r="3" spans="1:7" ht="15.75">
      <c r="A3" s="7" t="s">
        <v>24</v>
      </c>
      <c r="B3" s="66" t="str">
        <f>'Data entry screen'!$E$6</f>
        <v>Substance 4</v>
      </c>
      <c r="C3" s="8"/>
      <c r="D3" s="15" t="s">
        <v>92</v>
      </c>
      <c r="E3" s="75">
        <f>'Data entry screen'!E7</f>
        <v>0</v>
      </c>
      <c r="F3" s="3" t="s">
        <v>93</v>
      </c>
      <c r="G3" s="7"/>
    </row>
    <row r="4" spans="1:7" ht="15.75">
      <c r="A4" s="7" t="s">
        <v>5</v>
      </c>
      <c r="B4" s="66" t="str">
        <f>'Data entry screen'!$B$4</f>
        <v>WG</v>
      </c>
      <c r="C4" s="9"/>
      <c r="D4" s="15" t="s">
        <v>11</v>
      </c>
      <c r="E4" s="8" t="s">
        <v>25</v>
      </c>
      <c r="F4" s="8" t="str">
        <f>'Data entry screen'!B53</f>
        <v>None</v>
      </c>
      <c r="G4" s="25"/>
    </row>
    <row r="5" spans="1:7" ht="15.75">
      <c r="A5" s="7" t="s">
        <v>88</v>
      </c>
      <c r="B5" s="12">
        <f>'Data entry screen'!B48</f>
        <v>0</v>
      </c>
      <c r="C5" s="8"/>
      <c r="D5" s="8"/>
      <c r="E5" s="8" t="s">
        <v>26</v>
      </c>
      <c r="F5" s="8" t="str">
        <f>'Data entry screen'!B54</f>
        <v>None</v>
      </c>
      <c r="G5" s="25"/>
    </row>
    <row r="6" spans="1:7" ht="15.75">
      <c r="A6" s="7" t="s">
        <v>7</v>
      </c>
      <c r="B6" s="13">
        <f>'Data entry screen'!B50</f>
        <v>1</v>
      </c>
      <c r="C6" s="14"/>
      <c r="D6" s="15" t="s">
        <v>12</v>
      </c>
      <c r="E6" s="8" t="s">
        <v>25</v>
      </c>
      <c r="F6" s="8" t="str">
        <f>'Data entry screen'!D52</f>
        <v>None</v>
      </c>
      <c r="G6" s="7"/>
    </row>
    <row r="7" spans="1:7" ht="15.75">
      <c r="A7" s="7" t="s">
        <v>78</v>
      </c>
      <c r="B7" s="13">
        <f>'Data entry screen'!B5</f>
        <v>70</v>
      </c>
      <c r="C7" s="16"/>
      <c r="E7" s="8" t="s">
        <v>26</v>
      </c>
      <c r="F7" s="8" t="str">
        <f>'Data entry screen'!D53</f>
        <v>None</v>
      </c>
      <c r="G7" s="7"/>
    </row>
    <row r="8" spans="1:7" ht="15.75">
      <c r="A8" s="7" t="s">
        <v>53</v>
      </c>
      <c r="B8" s="13">
        <f>'Data entry screen'!E8</f>
        <v>0</v>
      </c>
      <c r="C8" s="8"/>
      <c r="E8" s="8" t="s">
        <v>27</v>
      </c>
      <c r="F8" s="8" t="str">
        <f>'Data entry screen'!D54</f>
        <v>None</v>
      </c>
      <c r="G8" s="7"/>
    </row>
    <row r="9" spans="1:7" ht="15.75">
      <c r="A9" s="7" t="s">
        <v>52</v>
      </c>
      <c r="B9" s="71">
        <f>'Data entry screen'!E10</f>
        <v>0</v>
      </c>
      <c r="C9" s="8" t="s">
        <v>79</v>
      </c>
      <c r="D9" s="10"/>
      <c r="E9" s="8" t="s">
        <v>28</v>
      </c>
      <c r="F9" s="8" t="str">
        <f>'Data entry screen'!D56</f>
        <v>Coverall</v>
      </c>
      <c r="G9" s="7"/>
    </row>
    <row r="10" spans="1:7" ht="15.75">
      <c r="A10" s="17"/>
      <c r="B10" s="72">
        <f>'Data entry screen'!E11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Calculations!C78</f>
        <v>0.013343799427581531</v>
      </c>
      <c r="C16" s="185"/>
      <c r="D16" s="197">
        <f aca="true" t="shared" si="0" ref="D16:D21">$E$3*$B$5*$B$6/1000</f>
        <v>0</v>
      </c>
      <c r="E16" s="208">
        <f>B16*$D16/$B$7</f>
        <v>0</v>
      </c>
      <c r="F16" s="12">
        <f>IF('Data entry screen'!B53="None","",Calculations!D78)</f>
      </c>
      <c r="G16" s="200">
        <f>IF(F4="None","",B16*F16*$D16/$B$7)</f>
      </c>
      <c r="H16" s="29" t="s">
        <v>31</v>
      </c>
      <c r="I16" s="173"/>
      <c r="J16" s="171"/>
      <c r="K16" s="171"/>
    </row>
    <row r="17" spans="1:11" ht="15.75">
      <c r="A17" s="27" t="s">
        <v>61</v>
      </c>
      <c r="B17" s="185">
        <f>Calculations!B81</f>
        <v>2.2951175335732805</v>
      </c>
      <c r="C17" s="185">
        <f>IF('Data entry screen'!B54="None","",Calculations!C81)</f>
      </c>
      <c r="D17" s="197">
        <f t="shared" si="0"/>
        <v>0</v>
      </c>
      <c r="E17" s="208">
        <f>B17*$D17/$B$7</f>
        <v>0</v>
      </c>
      <c r="F17" s="12"/>
      <c r="G17" s="200">
        <f>IF(F5="None","",C17*$D17/$B$7)</f>
      </c>
      <c r="H17" s="29" t="s">
        <v>36</v>
      </c>
      <c r="I17" s="174"/>
      <c r="J17" s="171"/>
      <c r="K17" s="171"/>
    </row>
    <row r="18" spans="1:11" ht="15.75">
      <c r="A18" s="27" t="s">
        <v>86</v>
      </c>
      <c r="B18" s="185">
        <f>Calculations!B84</f>
        <v>0.6769548608495896</v>
      </c>
      <c r="C18" s="185"/>
      <c r="D18" s="197">
        <f t="shared" si="0"/>
        <v>0</v>
      </c>
      <c r="E18" s="208">
        <f>B18*$D18/$B$7</f>
        <v>0</v>
      </c>
      <c r="F18" s="12">
        <f>IF('Data entry screen'!D52="None","",Calculations!D84)</f>
      </c>
      <c r="G18" s="200">
        <f>IF(F6="None","",B18*F18*$D18/$B$7)</f>
      </c>
      <c r="H18" s="29" t="s">
        <v>32</v>
      </c>
      <c r="I18" s="174"/>
      <c r="J18" s="171"/>
      <c r="K18" s="171"/>
    </row>
    <row r="19" spans="1:11" ht="15.75">
      <c r="A19" s="27" t="s">
        <v>62</v>
      </c>
      <c r="B19" s="185">
        <f>Calculations!B87</f>
        <v>0.806060606060606</v>
      </c>
      <c r="C19" s="185"/>
      <c r="D19" s="197">
        <f t="shared" si="0"/>
        <v>0</v>
      </c>
      <c r="E19" s="208">
        <f>B19*$D19/$B$7</f>
        <v>0</v>
      </c>
      <c r="F19" s="12">
        <f>IF(AND('Data entry screen'!D52="None",'Data entry screen'!D54="None"),"",Calculations!D87)</f>
      </c>
      <c r="G19" s="200">
        <f>IF(AND(F8="None",F6="None"),"",B19*F19*$D19/$B$7)</f>
      </c>
      <c r="H19" s="29" t="s">
        <v>34</v>
      </c>
      <c r="I19" s="174"/>
      <c r="J19" s="276">
        <f>IF(ISNUMBER(G19),G19,IF(G19="",E19,""))</f>
        <v>0</v>
      </c>
      <c r="K19" s="171"/>
    </row>
    <row r="20" spans="1:11" ht="15.75">
      <c r="A20" s="27" t="s">
        <v>63</v>
      </c>
      <c r="B20" s="185">
        <f>IF(ISNUMBER(Calculations!B90),Calculations!B90,"not applicable")</f>
        <v>25.19038613053613</v>
      </c>
      <c r="C20" s="185">
        <f>IF('Data entry screen'!D53="None","",Calculations!C90)</f>
      </c>
      <c r="D20" s="197">
        <f t="shared" si="0"/>
        <v>0</v>
      </c>
      <c r="E20" s="209">
        <f>IF('Data entry screen'!$B$47="High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shorts","",IF(ISNUMBER(Calculations!B93),Calculations!B93,"not applicable"))</f>
        <v>17.08412631842649</v>
      </c>
      <c r="C21" s="19">
        <f>IF(AND(OR('Data entry screen'!B47="High crop, standard",'Data entry screen'!B47="High crop, intensive contact with treated crop",'Data entry screen'!B47="Low crop, intensive contact with treated crop"),'Data entry screen'!D56="Impervious clothing"),Calculations!C93,"")</f>
      </c>
      <c r="D21" s="198">
        <f t="shared" si="0"/>
        <v>0</v>
      </c>
      <c r="E21" s="186">
        <f>IF('Data entry screen'!$B$47="High crop, intensive contact with treated crop","",B21*$D21/$B$7)</f>
        <v>0</v>
      </c>
      <c r="F21" s="73">
        <f>IF(F9="T-shirt + shorts","",IF(AND('Data entry screen'!D56="Impervious clothing",OR('Data entry screen'!B47="Low crop, intensive contact with treated crop",'Data entry screen'!B47="High crop, intensive contact with treated crop")),"",IF(OR(AND('Data entry screen'!B47="High crop, standard",'Data entry screen'!D56="Coverall"),'Data entry screen'!B47="Low crop, standard",'Data entry screen'!B47="Low crop, intensive contact with treated crop",'Data entry screen'!B47="High crop, intensive contact with treated crop"),"",Calculations!D93)))</f>
      </c>
      <c r="G21" s="201">
        <f>IF(F9="T-shirt + shorts","",IF(F9="Coverall","",IF(AND(OR('Data entry screen'!B47="Low crop, intensive contact with treated crop",'Data entry screen'!B47="High crop, intensive contact with treated crop"),F9="Impervious clothing"),C21*D21/$B$7,IF('Data entry screen'!B47="Low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278">
        <f>IF(D27="","",IF(C27=0,"",D27*C27/100))</f>
      </c>
      <c r="F27" s="101">
        <f>IF(ISNUMBER(G17),G17,IF(AND(ISNUMBER(E17),OR(ISNUMBER(G16),ISNUMBER(G18),ISNUMBER(G19),ISNUMBER(G20),ISNUMBER(G21))),E17,""))</f>
      </c>
      <c r="G27" s="103">
        <f>IF(C27=0,"",IF(ISNUMBER(F27),F27*C27/100,""))</f>
      </c>
      <c r="I27" s="177"/>
      <c r="J27" s="177"/>
      <c r="K27" s="171"/>
    </row>
    <row r="28" spans="1:11" ht="15.75" customHeight="1">
      <c r="A28" s="68"/>
      <c r="B28" s="114" t="s">
        <v>4</v>
      </c>
      <c r="C28" s="271">
        <f>B10</f>
        <v>0</v>
      </c>
      <c r="D28" s="101">
        <f>IF(F9="T-shirt + shorts","",IF('Data entry screen'!$B$47="High crop, intensive contact with treated crop","",SUM(E19:E21)))</f>
        <v>0</v>
      </c>
      <c r="E28" s="103">
        <f>IF(D28="","",IF('Data entry screen'!B47="High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80"/>
      <c r="J31" s="179"/>
      <c r="K31" s="171"/>
    </row>
    <row r="32" spans="1:7" ht="15.75">
      <c r="A32" s="10" t="s">
        <v>378</v>
      </c>
      <c r="B32" s="10"/>
      <c r="C32" s="28"/>
      <c r="D32" s="102" t="s">
        <v>334</v>
      </c>
      <c r="E32" s="102"/>
      <c r="F32" s="102"/>
      <c r="G32" s="102"/>
    </row>
    <row r="33" spans="1:8" ht="96"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row r="42" spans="4:7" ht="15.75">
      <c r="D42" s="168"/>
      <c r="E42" s="168"/>
      <c r="F42" s="168"/>
      <c r="G42" s="168"/>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G17" formula="1"/>
    <ignoredError sqref="E3" unlockedFormula="1"/>
  </ignoredErrors>
  <legacyDrawingHF r:id="rId1"/>
</worksheet>
</file>

<file path=xl/worksheets/sheet19.xml><?xml version="1.0" encoding="utf-8"?>
<worksheet xmlns="http://schemas.openxmlformats.org/spreadsheetml/2006/main" xmlns:r="http://schemas.openxmlformats.org/officeDocument/2006/relationships">
  <sheetPr codeName="Feuil7"/>
  <dimension ref="A1:O40"/>
  <sheetViews>
    <sheetView zoomScale="80" zoomScaleNormal="80" zoomScalePageLayoutView="0" workbookViewId="0" topLeftCell="A1">
      <selection activeCell="E26" sqref="E26"/>
    </sheetView>
  </sheetViews>
  <sheetFormatPr defaultColWidth="11.421875" defaultRowHeight="12.75"/>
  <cols>
    <col min="1" max="1" width="24.8515625" style="281" customWidth="1"/>
    <col min="2" max="2" width="17.28125" style="281" bestFit="1" customWidth="1"/>
    <col min="3" max="3" width="16.140625" style="281" bestFit="1" customWidth="1"/>
    <col min="4" max="4" width="24.8515625" style="281" bestFit="1" customWidth="1"/>
    <col min="5" max="7" width="16.7109375" style="281" customWidth="1"/>
    <col min="8" max="8" width="16.00390625" style="281" bestFit="1" customWidth="1"/>
    <col min="9" max="9" width="16.421875" style="171" customWidth="1"/>
    <col min="10" max="10" width="20.00390625" style="171" bestFit="1" customWidth="1"/>
    <col min="11" max="16384" width="11.421875" style="281" customWidth="1"/>
  </cols>
  <sheetData>
    <row r="1" spans="1:9" ht="15.75">
      <c r="A1" s="338" t="str">
        <f>"Operator exposure estimate: Greenhouse model. "&amp;'Data entry screen'!B25</f>
        <v>Operator exposure estimate: Greenhouse model. High crop, standard</v>
      </c>
      <c r="B1" s="339"/>
      <c r="C1" s="339"/>
      <c r="D1" s="340"/>
      <c r="E1" s="340"/>
      <c r="I1" s="171" t="str">
        <f>'Data entry screen'!B14</f>
        <v>High crop, standard</v>
      </c>
    </row>
    <row r="2" spans="1:7" ht="15.75">
      <c r="A2" s="282" t="s">
        <v>6</v>
      </c>
      <c r="B2" s="283" t="str">
        <f>'Data entry screen'!$B$3</f>
        <v>Dummy</v>
      </c>
      <c r="C2" s="284"/>
      <c r="D2" s="285"/>
      <c r="E2" s="285"/>
      <c r="F2" s="285"/>
      <c r="G2" s="286"/>
    </row>
    <row r="3" spans="1:7" ht="15.75">
      <c r="A3" s="286" t="s">
        <v>24</v>
      </c>
      <c r="B3" s="287" t="str">
        <f>'Data entry screen'!$B$6</f>
        <v>Substance 1</v>
      </c>
      <c r="C3" s="288"/>
      <c r="D3" s="289" t="s">
        <v>92</v>
      </c>
      <c r="E3" s="290">
        <f>'Data entry screen'!B7</f>
        <v>100</v>
      </c>
      <c r="F3" s="281" t="s">
        <v>93</v>
      </c>
      <c r="G3" s="286"/>
    </row>
    <row r="4" spans="1:7" ht="15.75">
      <c r="A4" s="286" t="s">
        <v>5</v>
      </c>
      <c r="B4" s="287" t="str">
        <f>'Data entry screen'!$B$4</f>
        <v>WG</v>
      </c>
      <c r="C4" s="291"/>
      <c r="D4" s="394" t="s">
        <v>11</v>
      </c>
      <c r="E4" s="395" t="s">
        <v>25</v>
      </c>
      <c r="F4" s="395" t="s">
        <v>3</v>
      </c>
      <c r="G4" s="292"/>
    </row>
    <row r="5" spans="1:7" ht="15.75">
      <c r="A5" s="286" t="s">
        <v>313</v>
      </c>
      <c r="B5" s="293">
        <f>'Data entry screen'!B26</f>
        <v>0</v>
      </c>
      <c r="C5" s="288"/>
      <c r="D5" s="395"/>
      <c r="E5" s="395" t="s">
        <v>26</v>
      </c>
      <c r="F5" s="395" t="s">
        <v>3</v>
      </c>
      <c r="G5" s="292"/>
    </row>
    <row r="6" spans="1:7" ht="15.75">
      <c r="A6" s="286" t="s">
        <v>7</v>
      </c>
      <c r="B6" s="294">
        <f>'Data entry screen'!B28</f>
        <v>1</v>
      </c>
      <c r="C6" s="295"/>
      <c r="D6" s="394" t="s">
        <v>12</v>
      </c>
      <c r="E6" s="395" t="s">
        <v>25</v>
      </c>
      <c r="F6" s="395" t="s">
        <v>3</v>
      </c>
      <c r="G6" s="286"/>
    </row>
    <row r="7" spans="1:7" ht="15.75">
      <c r="A7" s="286" t="s">
        <v>78</v>
      </c>
      <c r="B7" s="294">
        <f>'Data entry screen'!B5</f>
        <v>70</v>
      </c>
      <c r="C7" s="296"/>
      <c r="D7" s="396"/>
      <c r="E7" s="395" t="s">
        <v>26</v>
      </c>
      <c r="F7" s="395" t="s">
        <v>3</v>
      </c>
      <c r="G7" s="286"/>
    </row>
    <row r="8" spans="1:7" ht="15.75">
      <c r="A8" s="286" t="s">
        <v>53</v>
      </c>
      <c r="B8" s="294">
        <f>'Data entry screen'!B8</f>
        <v>100</v>
      </c>
      <c r="C8" s="288"/>
      <c r="D8" s="396"/>
      <c r="E8" s="395" t="s">
        <v>27</v>
      </c>
      <c r="F8" s="395" t="s">
        <v>3</v>
      </c>
      <c r="G8" s="286"/>
    </row>
    <row r="9" spans="1:7" ht="15.75">
      <c r="A9" s="286" t="s">
        <v>52</v>
      </c>
      <c r="B9" s="297">
        <f>'Data entry screen'!B10</f>
        <v>100</v>
      </c>
      <c r="C9" s="288" t="s">
        <v>79</v>
      </c>
      <c r="D9" s="397"/>
      <c r="E9" s="395" t="s">
        <v>28</v>
      </c>
      <c r="F9" s="395" t="s">
        <v>381</v>
      </c>
      <c r="G9" s="286"/>
    </row>
    <row r="10" spans="1:7" ht="15.75">
      <c r="A10" s="299"/>
      <c r="B10" s="300">
        <f>'Data entry screen'!B11</f>
        <v>10</v>
      </c>
      <c r="C10" s="301" t="s">
        <v>80</v>
      </c>
      <c r="D10" s="302"/>
      <c r="E10" s="302"/>
      <c r="F10" s="302"/>
      <c r="G10" s="286"/>
    </row>
    <row r="11" spans="1:3" ht="15.75">
      <c r="A11" s="288"/>
      <c r="B11" s="288"/>
      <c r="C11" s="303"/>
    </row>
    <row r="12" spans="1:3" ht="15.75">
      <c r="A12" s="686" t="s">
        <v>87</v>
      </c>
      <c r="B12" s="686"/>
      <c r="C12" s="486" t="str">
        <f>'Data entry screen'!D3</f>
        <v>75th percentile</v>
      </c>
    </row>
    <row r="13" spans="1:12" ht="46.5" customHeight="1">
      <c r="A13" s="697" t="s">
        <v>29</v>
      </c>
      <c r="B13" s="699" t="s">
        <v>377</v>
      </c>
      <c r="C13" s="699"/>
      <c r="D13" s="699" t="s">
        <v>40</v>
      </c>
      <c r="E13" s="690" t="s">
        <v>51</v>
      </c>
      <c r="F13" s="691"/>
      <c r="G13" s="319"/>
      <c r="H13" s="292"/>
      <c r="J13" s="700"/>
      <c r="K13" s="700"/>
      <c r="L13" s="700"/>
    </row>
    <row r="14" spans="1:15" ht="15.75">
      <c r="A14" s="698"/>
      <c r="B14" s="690" t="s">
        <v>394</v>
      </c>
      <c r="C14" s="691"/>
      <c r="D14" s="699"/>
      <c r="E14" s="690" t="s">
        <v>394</v>
      </c>
      <c r="F14" s="691"/>
      <c r="G14" s="406"/>
      <c r="H14" s="292"/>
      <c r="J14" s="170"/>
      <c r="O14" s="307"/>
    </row>
    <row r="15" spans="1:10" ht="15.75">
      <c r="A15" s="292"/>
      <c r="B15" s="398"/>
      <c r="C15" s="399"/>
      <c r="D15" s="400"/>
      <c r="E15" s="298"/>
      <c r="F15" s="308"/>
      <c r="G15" s="309" t="s">
        <v>30</v>
      </c>
      <c r="H15" s="280"/>
      <c r="J15" s="281"/>
    </row>
    <row r="16" spans="1:10" ht="15.75">
      <c r="A16" s="310" t="s">
        <v>383</v>
      </c>
      <c r="B16" s="695">
        <f>Calculations!C36</f>
        <v>0.013343799427581531</v>
      </c>
      <c r="C16" s="696"/>
      <c r="D16" s="401">
        <f aca="true" t="shared" si="0" ref="D16:D21">$E$3*$B$5*$B$6/1000</f>
        <v>0</v>
      </c>
      <c r="E16" s="692">
        <f>B16*$D16/$B$7</f>
        <v>0</v>
      </c>
      <c r="F16" s="693"/>
      <c r="G16" s="311" t="s">
        <v>31</v>
      </c>
      <c r="H16" s="171"/>
      <c r="I16" s="173"/>
      <c r="J16" s="281"/>
    </row>
    <row r="17" spans="1:10" ht="15.75">
      <c r="A17" s="310" t="s">
        <v>384</v>
      </c>
      <c r="B17" s="695">
        <f>Calculations!B39</f>
        <v>2.2951175335732805</v>
      </c>
      <c r="C17" s="696"/>
      <c r="D17" s="401">
        <f t="shared" si="0"/>
        <v>0</v>
      </c>
      <c r="E17" s="692">
        <f>B17*$D17/$B$7</f>
        <v>0</v>
      </c>
      <c r="F17" s="693"/>
      <c r="G17" s="311" t="s">
        <v>36</v>
      </c>
      <c r="H17" s="171"/>
      <c r="I17" s="174"/>
      <c r="J17" s="281"/>
    </row>
    <row r="18" spans="1:10" ht="15.75">
      <c r="A18" s="310" t="s">
        <v>385</v>
      </c>
      <c r="B18" s="695">
        <f>Calculations!B42</f>
        <v>0.6769548608495896</v>
      </c>
      <c r="C18" s="696"/>
      <c r="D18" s="401">
        <f t="shared" si="0"/>
        <v>0</v>
      </c>
      <c r="E18" s="692">
        <f>B18*$D18/$B$7</f>
        <v>0</v>
      </c>
      <c r="F18" s="693"/>
      <c r="G18" s="311" t="s">
        <v>32</v>
      </c>
      <c r="H18" s="171"/>
      <c r="I18" s="174"/>
      <c r="J18" s="281"/>
    </row>
    <row r="19" spans="1:10" ht="15.75">
      <c r="A19" s="310" t="s">
        <v>386</v>
      </c>
      <c r="B19" s="695">
        <f>Calculations!B45</f>
        <v>0.806060606060606</v>
      </c>
      <c r="C19" s="696"/>
      <c r="D19" s="401">
        <f t="shared" si="0"/>
        <v>0</v>
      </c>
      <c r="E19" s="692">
        <f>B19*$D19/$B$7</f>
        <v>0</v>
      </c>
      <c r="F19" s="693"/>
      <c r="G19" s="311" t="s">
        <v>34</v>
      </c>
      <c r="H19" s="171"/>
      <c r="I19" s="276"/>
      <c r="J19" s="281"/>
    </row>
    <row r="20" spans="1:10" ht="15.75">
      <c r="A20" s="310" t="s">
        <v>387</v>
      </c>
      <c r="B20" s="695">
        <f>IF(ISNUMBER(Calculations!B48),Calculations!B48,"not applicable")</f>
        <v>25.19038613053613</v>
      </c>
      <c r="C20" s="696"/>
      <c r="D20" s="401">
        <f t="shared" si="0"/>
        <v>0</v>
      </c>
      <c r="E20" s="703">
        <f>IF(ISNUMBER(B20),B20*$D20/$B$7,"")</f>
        <v>0</v>
      </c>
      <c r="F20" s="704"/>
      <c r="G20" s="311" t="s">
        <v>33</v>
      </c>
      <c r="H20" s="171"/>
      <c r="I20" s="277"/>
      <c r="J20" s="281"/>
    </row>
    <row r="21" spans="1:10" ht="15.75">
      <c r="A21" s="312" t="s">
        <v>388</v>
      </c>
      <c r="B21" s="688" t="str">
        <f>IF(AND('Data entry screen'!D34="T-shirt + shorts",ISNUMBER(Calculations!F51)),Calculations!F51,"not applicable")</f>
        <v>not applicable</v>
      </c>
      <c r="C21" s="689"/>
      <c r="D21" s="402">
        <f t="shared" si="0"/>
        <v>0</v>
      </c>
      <c r="E21" s="705" t="str">
        <f>IF(B21="not applicable","not applicable",B21*$D21/$B$7)</f>
        <v>not applicable</v>
      </c>
      <c r="F21" s="689"/>
      <c r="G21" s="313" t="s">
        <v>35</v>
      </c>
      <c r="H21" s="171"/>
      <c r="I21" s="277"/>
      <c r="J21" s="281"/>
    </row>
    <row r="22" ht="14.25" customHeight="1">
      <c r="A22" s="314"/>
    </row>
    <row r="23" spans="1:9" ht="15.75">
      <c r="A23" s="686" t="s">
        <v>395</v>
      </c>
      <c r="B23" s="686"/>
      <c r="C23" s="315"/>
      <c r="D23" s="701" t="s">
        <v>394</v>
      </c>
      <c r="E23" s="702"/>
      <c r="I23" s="175"/>
    </row>
    <row r="24" spans="1:10" ht="46.5">
      <c r="A24" s="316" t="s">
        <v>29</v>
      </c>
      <c r="B24" s="317"/>
      <c r="C24" s="305" t="s">
        <v>82</v>
      </c>
      <c r="D24" s="305" t="s">
        <v>389</v>
      </c>
      <c r="E24" s="318" t="s">
        <v>390</v>
      </c>
      <c r="F24" s="687" t="str">
        <f>"AOEL = "&amp;'Data entry screen'!B12&amp;" mg/kg bw/d"</f>
        <v>AOEL = 0,1 mg/kg bw/d</v>
      </c>
      <c r="G24" s="687"/>
      <c r="I24" s="169"/>
      <c r="J24" s="169"/>
    </row>
    <row r="25" spans="1:10" ht="15.75">
      <c r="A25" s="304"/>
      <c r="B25" s="285"/>
      <c r="C25" s="319"/>
      <c r="D25" s="319"/>
      <c r="E25" s="320"/>
      <c r="F25" s="680" t="s">
        <v>396</v>
      </c>
      <c r="G25" s="681"/>
      <c r="I25" s="176"/>
      <c r="J25" s="176"/>
    </row>
    <row r="26" spans="1:10" ht="15.75">
      <c r="A26" s="321" t="s">
        <v>83</v>
      </c>
      <c r="B26" s="298" t="s">
        <v>38</v>
      </c>
      <c r="C26" s="322">
        <f>B9</f>
        <v>100</v>
      </c>
      <c r="D26" s="403">
        <f>E17</f>
        <v>0</v>
      </c>
      <c r="E26" s="323">
        <f>D26*C26/100</f>
        <v>0</v>
      </c>
      <c r="F26" s="682"/>
      <c r="G26" s="683"/>
      <c r="I26" s="177"/>
      <c r="J26" s="177"/>
    </row>
    <row r="27" spans="1:10" ht="17.25" customHeight="1">
      <c r="A27" s="325"/>
      <c r="B27" s="326" t="s">
        <v>4</v>
      </c>
      <c r="C27" s="322">
        <f>B10</f>
        <v>10</v>
      </c>
      <c r="D27" s="403" t="str">
        <f>IF(AND(ISNUMBER(E19),ISNUMBER(E20),ISNUMBER(E21)),SUM(E19:E21),"not applicable")</f>
        <v>not applicable</v>
      </c>
      <c r="E27" s="323" t="str">
        <f>IF(D27="","",IF(D27="not applicable","not applicable",IF(C27=0,"",D27*C27/100)))</f>
        <v>not applicable</v>
      </c>
      <c r="F27" s="682"/>
      <c r="G27" s="683"/>
      <c r="I27" s="177"/>
      <c r="J27" s="177"/>
    </row>
    <row r="28" spans="1:10" ht="15.75">
      <c r="A28" s="321" t="s">
        <v>84</v>
      </c>
      <c r="B28" s="298" t="s">
        <v>38</v>
      </c>
      <c r="C28" s="327">
        <f>B8</f>
        <v>100</v>
      </c>
      <c r="D28" s="404">
        <f>E16</f>
        <v>0</v>
      </c>
      <c r="E28" s="328">
        <f>IF(D28="","",D28*C28/100)</f>
        <v>0</v>
      </c>
      <c r="F28" s="682"/>
      <c r="G28" s="683"/>
      <c r="I28" s="177"/>
      <c r="J28" s="177"/>
    </row>
    <row r="29" spans="1:10" ht="15.75">
      <c r="A29" s="306"/>
      <c r="B29" s="302" t="s">
        <v>4</v>
      </c>
      <c r="C29" s="329">
        <f>B8</f>
        <v>100</v>
      </c>
      <c r="D29" s="405">
        <f>E18</f>
        <v>0</v>
      </c>
      <c r="E29" s="324">
        <f>IF(D29="","",D29*C29/100)</f>
        <v>0</v>
      </c>
      <c r="F29" s="684"/>
      <c r="G29" s="685"/>
      <c r="I29" s="177"/>
      <c r="J29" s="177"/>
    </row>
    <row r="30" spans="1:10" ht="15.75">
      <c r="A30" s="330"/>
      <c r="B30" s="317"/>
      <c r="C30" s="336" t="s">
        <v>39</v>
      </c>
      <c r="D30" s="337"/>
      <c r="E30" s="335" t="str">
        <f>IF(AND(ISNUMBER(E26),ISNUMBER(E27),ISNUMBER(E28),ISNUMBER(E29)),SUM(E26:E29),"not applicable")</f>
        <v>not applicable</v>
      </c>
      <c r="F30" s="678" t="str">
        <f>IF(ISNUMBER(E30),E30*100/'Data entry screen'!B12,"not applicable")</f>
        <v>not applicable</v>
      </c>
      <c r="G30" s="679"/>
      <c r="I30" s="178"/>
      <c r="J30" s="179"/>
    </row>
    <row r="31" spans="1:7" ht="15.75">
      <c r="A31" s="298"/>
      <c r="B31" s="298"/>
      <c r="C31" s="331"/>
      <c r="D31" s="332"/>
      <c r="E31" s="332"/>
      <c r="F31" s="332"/>
      <c r="G31" s="332"/>
    </row>
    <row r="32" spans="1:8" ht="15.75">
      <c r="A32" s="694"/>
      <c r="B32" s="694"/>
      <c r="C32" s="694"/>
      <c r="D32" s="694"/>
      <c r="E32" s="694"/>
      <c r="F32" s="694"/>
      <c r="G32" s="694"/>
      <c r="H32" s="694"/>
    </row>
    <row r="33" spans="1:7" ht="15.75">
      <c r="A33" s="298"/>
      <c r="B33" s="298"/>
      <c r="C33" s="331"/>
      <c r="D33" s="333"/>
      <c r="E33" s="333"/>
      <c r="F33" s="333"/>
      <c r="G33" s="333"/>
    </row>
    <row r="34" spans="1:7" ht="15.75">
      <c r="A34" s="298"/>
      <c r="B34" s="298"/>
      <c r="C34" s="331"/>
      <c r="D34" s="334"/>
      <c r="E34" s="334"/>
      <c r="F34" s="334"/>
      <c r="G34" s="333"/>
    </row>
    <row r="35" spans="1:7" ht="15.75">
      <c r="A35" s="298"/>
      <c r="B35" s="298"/>
      <c r="C35" s="331"/>
      <c r="D35" s="334"/>
      <c r="E35" s="334"/>
      <c r="F35" s="334"/>
      <c r="G35" s="333"/>
    </row>
    <row r="36" spans="4:6" ht="15.75">
      <c r="D36" s="334"/>
      <c r="E36" s="334"/>
      <c r="F36" s="334"/>
    </row>
    <row r="37" spans="4:7" ht="15.75">
      <c r="D37" s="334"/>
      <c r="E37" s="334"/>
      <c r="F37" s="334"/>
      <c r="G37" s="333"/>
    </row>
    <row r="38" spans="4:7" ht="15.75">
      <c r="D38" s="333"/>
      <c r="E38" s="333"/>
      <c r="F38" s="333"/>
      <c r="G38" s="333"/>
    </row>
    <row r="39" spans="4:7" ht="15.75">
      <c r="D39" s="334"/>
      <c r="E39" s="334"/>
      <c r="F39" s="334"/>
      <c r="G39" s="333"/>
    </row>
    <row r="40" spans="4:7" ht="15.75">
      <c r="D40" s="334"/>
      <c r="E40" s="334"/>
      <c r="F40" s="334"/>
      <c r="G40" s="333"/>
    </row>
  </sheetData>
  <sheetProtection sheet="1" objects="1" scenarios="1"/>
  <mergeCells count="26">
    <mergeCell ref="A12:B12"/>
    <mergeCell ref="A13:A14"/>
    <mergeCell ref="B13:C13"/>
    <mergeCell ref="D13:D14"/>
    <mergeCell ref="B17:C17"/>
    <mergeCell ref="E17:F17"/>
    <mergeCell ref="E13:F13"/>
    <mergeCell ref="J13:L13"/>
    <mergeCell ref="B14:C14"/>
    <mergeCell ref="E14:F14"/>
    <mergeCell ref="B16:C16"/>
    <mergeCell ref="E16:F16"/>
    <mergeCell ref="B20:C20"/>
    <mergeCell ref="E20:F20"/>
    <mergeCell ref="B21:C21"/>
    <mergeCell ref="E21:F21"/>
    <mergeCell ref="B18:C18"/>
    <mergeCell ref="E18:F18"/>
    <mergeCell ref="B19:C19"/>
    <mergeCell ref="E19:F19"/>
    <mergeCell ref="F30:G30"/>
    <mergeCell ref="A32:H32"/>
    <mergeCell ref="A23:B23"/>
    <mergeCell ref="D23:E23"/>
    <mergeCell ref="F24:G24"/>
    <mergeCell ref="F25:G29"/>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pageSetUpPr fitToPage="1"/>
  </sheetPr>
  <dimension ref="A1:O41"/>
  <sheetViews>
    <sheetView zoomScale="75" zoomScaleNormal="75" zoomScalePageLayoutView="0" workbookViewId="0" topLeftCell="A1">
      <selection activeCell="F28" sqref="F28"/>
    </sheetView>
  </sheetViews>
  <sheetFormatPr defaultColWidth="11.421875" defaultRowHeight="12.75"/>
  <cols>
    <col min="1" max="1" width="24.8515625" style="3" customWidth="1"/>
    <col min="2" max="2" width="17.28125" style="3" bestFit="1" customWidth="1"/>
    <col min="3" max="3" width="12.8515625" style="3" customWidth="1"/>
    <col min="4" max="4" width="19.8515625" style="3" customWidth="1"/>
    <col min="5" max="7" width="16.7109375" style="3" customWidth="1"/>
    <col min="8" max="9" width="16.421875" style="3" customWidth="1"/>
    <col min="10" max="10" width="20.00390625" style="3" bestFit="1" customWidth="1"/>
    <col min="11" max="16384" width="11.421875" style="3" customWidth="1"/>
  </cols>
  <sheetData>
    <row r="1" spans="1:9" ht="15.75">
      <c r="A1" s="415" t="str">
        <f>"Operator exposure estimate: Greenhouse model. "&amp;'Data entry screen'!B14</f>
        <v>Operator exposure estimate: Greenhouse model. High crop, standard</v>
      </c>
      <c r="B1" s="407"/>
      <c r="C1" s="407"/>
      <c r="D1" s="168"/>
      <c r="E1" s="168"/>
      <c r="F1" s="168"/>
      <c r="G1" s="168"/>
      <c r="H1" s="168"/>
      <c r="I1" s="171" t="str">
        <f>'Data entry screen'!B14</f>
        <v>High crop, standard</v>
      </c>
    </row>
    <row r="2" spans="1:8" ht="15.75">
      <c r="A2" s="416" t="s">
        <v>6</v>
      </c>
      <c r="B2" s="417" t="str">
        <f>'Data entry screen'!$B$3</f>
        <v>Dummy</v>
      </c>
      <c r="C2" s="408"/>
      <c r="D2" s="418"/>
      <c r="E2" s="418"/>
      <c r="F2" s="418"/>
      <c r="G2" s="410"/>
      <c r="H2" s="168"/>
    </row>
    <row r="3" spans="1:8" ht="15.75">
      <c r="A3" s="410" t="s">
        <v>24</v>
      </c>
      <c r="B3" s="419" t="str">
        <f>'Data entry screen'!$B$6</f>
        <v>Substance 1</v>
      </c>
      <c r="C3" s="411"/>
      <c r="D3" s="420" t="s">
        <v>92</v>
      </c>
      <c r="E3" s="421">
        <f>'Data entry screen'!B7</f>
        <v>100</v>
      </c>
      <c r="F3" s="168" t="s">
        <v>93</v>
      </c>
      <c r="G3" s="410"/>
      <c r="H3" s="168"/>
    </row>
    <row r="4" spans="1:8" ht="15.75">
      <c r="A4" s="410" t="s">
        <v>5</v>
      </c>
      <c r="B4" s="419" t="str">
        <f>'Data entry screen'!$B$4</f>
        <v>WG</v>
      </c>
      <c r="C4" s="409"/>
      <c r="D4" s="420" t="s">
        <v>11</v>
      </c>
      <c r="E4" s="411" t="s">
        <v>25</v>
      </c>
      <c r="F4" s="411" t="str">
        <f>'Data entry screen'!B20</f>
        <v>None</v>
      </c>
      <c r="G4" s="422"/>
      <c r="H4" s="168"/>
    </row>
    <row r="5" spans="1:8" ht="15.75">
      <c r="A5" s="410" t="s">
        <v>313</v>
      </c>
      <c r="B5" s="423">
        <f>'Data entry screen'!B15</f>
        <v>0</v>
      </c>
      <c r="C5" s="411"/>
      <c r="D5" s="411"/>
      <c r="E5" s="411" t="s">
        <v>26</v>
      </c>
      <c r="F5" s="411" t="str">
        <f>'Data entry screen'!B21</f>
        <v>None</v>
      </c>
      <c r="G5" s="422"/>
      <c r="H5" s="168"/>
    </row>
    <row r="6" spans="1:8" ht="15.75">
      <c r="A6" s="410" t="s">
        <v>7</v>
      </c>
      <c r="B6" s="424">
        <f>'Data entry screen'!B17</f>
        <v>1</v>
      </c>
      <c r="C6" s="14"/>
      <c r="D6" s="420" t="s">
        <v>12</v>
      </c>
      <c r="E6" s="411" t="s">
        <v>25</v>
      </c>
      <c r="F6" s="411" t="str">
        <f>'Data entry screen'!D19</f>
        <v>None</v>
      </c>
      <c r="G6" s="410"/>
      <c r="H6" s="168"/>
    </row>
    <row r="7" spans="1:8" ht="15.75">
      <c r="A7" s="410" t="s">
        <v>78</v>
      </c>
      <c r="B7" s="424">
        <f>'Data entry screen'!B5</f>
        <v>70</v>
      </c>
      <c r="C7" s="425"/>
      <c r="D7" s="168"/>
      <c r="E7" s="411" t="s">
        <v>26</v>
      </c>
      <c r="F7" s="411" t="str">
        <f>'Data entry screen'!D20</f>
        <v>None</v>
      </c>
      <c r="G7" s="410"/>
      <c r="H7" s="168"/>
    </row>
    <row r="8" spans="1:8" ht="15.75">
      <c r="A8" s="410" t="s">
        <v>53</v>
      </c>
      <c r="B8" s="424">
        <f>'Data entry screen'!B8</f>
        <v>100</v>
      </c>
      <c r="C8" s="411"/>
      <c r="D8" s="168"/>
      <c r="E8" s="411" t="s">
        <v>27</v>
      </c>
      <c r="F8" s="411" t="str">
        <f>'Data entry screen'!D21</f>
        <v>None</v>
      </c>
      <c r="G8" s="410"/>
      <c r="H8" s="168"/>
    </row>
    <row r="9" spans="1:8" ht="15.75">
      <c r="A9" s="410" t="s">
        <v>52</v>
      </c>
      <c r="B9" s="426">
        <f>'Data entry screen'!B10</f>
        <v>100</v>
      </c>
      <c r="C9" s="411" t="s">
        <v>79</v>
      </c>
      <c r="D9" s="414"/>
      <c r="E9" s="411" t="s">
        <v>28</v>
      </c>
      <c r="F9" s="411" t="str">
        <f>'Data entry screen'!D23</f>
        <v>Coverall</v>
      </c>
      <c r="G9" s="410"/>
      <c r="H9" s="168"/>
    </row>
    <row r="10" spans="1:8" ht="15.75">
      <c r="A10" s="427"/>
      <c r="B10" s="428">
        <f>'Data entry screen'!B11</f>
        <v>10</v>
      </c>
      <c r="C10" s="413" t="s">
        <v>80</v>
      </c>
      <c r="D10" s="429"/>
      <c r="E10" s="429"/>
      <c r="F10" s="429"/>
      <c r="G10" s="410"/>
      <c r="H10" s="168"/>
    </row>
    <row r="11" spans="1:8" ht="15.75">
      <c r="A11" s="411"/>
      <c r="B11" s="411"/>
      <c r="C11" s="412"/>
      <c r="D11" s="168"/>
      <c r="E11" s="168"/>
      <c r="F11" s="168"/>
      <c r="G11" s="168"/>
      <c r="H11" s="168"/>
    </row>
    <row r="12" spans="1:12" ht="15.75">
      <c r="A12" s="415" t="s">
        <v>87</v>
      </c>
      <c r="B12" s="407"/>
      <c r="C12" s="430"/>
      <c r="D12" s="168"/>
      <c r="E12" s="168"/>
      <c r="F12" s="168"/>
      <c r="G12" s="168"/>
      <c r="H12" s="168"/>
      <c r="I12" s="189"/>
      <c r="J12" s="189"/>
      <c r="K12" s="189"/>
      <c r="L12" s="189"/>
    </row>
    <row r="13" spans="1:12" ht="46.5" customHeight="1">
      <c r="A13" s="669" t="s">
        <v>29</v>
      </c>
      <c r="B13" s="671" t="s">
        <v>377</v>
      </c>
      <c r="C13" s="671"/>
      <c r="D13" s="671" t="s">
        <v>40</v>
      </c>
      <c r="E13" s="671" t="s">
        <v>51</v>
      </c>
      <c r="F13" s="671"/>
      <c r="G13" s="671"/>
      <c r="H13" s="422"/>
      <c r="I13" s="189"/>
      <c r="J13" s="363"/>
      <c r="K13" s="363"/>
      <c r="L13" s="363"/>
    </row>
    <row r="14" spans="1:15" ht="15.75">
      <c r="A14" s="670"/>
      <c r="B14" s="432" t="s">
        <v>357</v>
      </c>
      <c r="C14" s="432" t="s">
        <v>358</v>
      </c>
      <c r="D14" s="671"/>
      <c r="E14" s="432" t="s">
        <v>305</v>
      </c>
      <c r="F14" s="433" t="s">
        <v>54</v>
      </c>
      <c r="G14" s="433" t="s">
        <v>314</v>
      </c>
      <c r="H14" s="434"/>
      <c r="I14" s="189"/>
      <c r="J14" s="190"/>
      <c r="K14" s="189"/>
      <c r="L14" s="189"/>
      <c r="O14" s="184"/>
    </row>
    <row r="15" spans="1:12" ht="15.75">
      <c r="A15" s="422"/>
      <c r="B15" s="414"/>
      <c r="C15" s="414"/>
      <c r="D15" s="414"/>
      <c r="E15" s="414"/>
      <c r="F15" s="414"/>
      <c r="G15" s="435"/>
      <c r="H15" s="436" t="s">
        <v>30</v>
      </c>
      <c r="I15" s="189"/>
      <c r="J15" s="189"/>
      <c r="K15" s="189"/>
      <c r="L15" s="189"/>
    </row>
    <row r="16" spans="1:12" ht="15.75">
      <c r="A16" s="437" t="s">
        <v>85</v>
      </c>
      <c r="B16" s="438">
        <f>Calculations!C15</f>
        <v>0.013343799427581531</v>
      </c>
      <c r="C16" s="438"/>
      <c r="D16" s="439">
        <f aca="true" t="shared" si="0" ref="D16:D21">$E$3*$B$5*$B$6/1000</f>
        <v>0</v>
      </c>
      <c r="E16" s="440">
        <f>B16*$D16/$B$7</f>
        <v>0</v>
      </c>
      <c r="F16" s="423">
        <f>IF('Data entry screen'!B20="None","",Calculations!D15)</f>
      </c>
      <c r="G16" s="441">
        <f>IF(F4="None","",B16*F16*$D16/$B$7)</f>
      </c>
      <c r="H16" s="442" t="s">
        <v>31</v>
      </c>
      <c r="I16" s="189"/>
      <c r="J16" s="191"/>
      <c r="K16" s="189"/>
      <c r="L16" s="189"/>
    </row>
    <row r="17" spans="1:12" ht="15.75">
      <c r="A17" s="437" t="s">
        <v>61</v>
      </c>
      <c r="B17" s="438">
        <f>Calculations!B18</f>
        <v>2.2951175335732805</v>
      </c>
      <c r="C17" s="438">
        <f>IF('Data entry screen'!B21="None","",Calculations!C18)</f>
      </c>
      <c r="D17" s="439">
        <f t="shared" si="0"/>
        <v>0</v>
      </c>
      <c r="E17" s="440">
        <f>B17*$D17/$B$7</f>
        <v>0</v>
      </c>
      <c r="F17" s="423"/>
      <c r="G17" s="441">
        <f>IF(F5="None","",C17*$D17/$B$7)</f>
      </c>
      <c r="H17" s="442" t="s">
        <v>36</v>
      </c>
      <c r="I17" s="189"/>
      <c r="J17" s="187"/>
      <c r="K17" s="189"/>
      <c r="L17" s="189"/>
    </row>
    <row r="18" spans="1:12" ht="15.75">
      <c r="A18" s="437" t="s">
        <v>86</v>
      </c>
      <c r="B18" s="438">
        <f>Calculations!B21</f>
        <v>0.6769548608495896</v>
      </c>
      <c r="C18" s="438"/>
      <c r="D18" s="439">
        <f t="shared" si="0"/>
        <v>0</v>
      </c>
      <c r="E18" s="440">
        <f>B18*$D18/$B$7</f>
        <v>0</v>
      </c>
      <c r="F18" s="423">
        <f>IF('Data entry screen'!D19="None","",Calculations!D21)</f>
      </c>
      <c r="G18" s="441">
        <f>IF(F6="None","",B18*F18*$D18/$B$7)</f>
      </c>
      <c r="H18" s="442" t="s">
        <v>32</v>
      </c>
      <c r="I18" s="189"/>
      <c r="J18" s="187"/>
      <c r="K18" s="189"/>
      <c r="L18" s="189"/>
    </row>
    <row r="19" spans="1:12" ht="15.75">
      <c r="A19" s="437" t="s">
        <v>62</v>
      </c>
      <c r="B19" s="438">
        <f>Calculations!B24</f>
        <v>0.806060606060606</v>
      </c>
      <c r="C19" s="438"/>
      <c r="D19" s="439">
        <f t="shared" si="0"/>
        <v>0</v>
      </c>
      <c r="E19" s="440">
        <f>B19*$D19/$B$7</f>
        <v>0</v>
      </c>
      <c r="F19" s="423">
        <f>IF(AND('Data entry screen'!D19="None",'Data entry screen'!D21="None"),"",Calculations!D24)</f>
      </c>
      <c r="G19" s="441">
        <f>IF(AND(F8="None",F6="None"),"",B19*F19*$D19/$B$7)</f>
      </c>
      <c r="H19" s="442" t="s">
        <v>34</v>
      </c>
      <c r="I19" s="189"/>
      <c r="J19" s="276">
        <f>IF(ISNUMBER(G19),G19,IF(G19="",E19,""))</f>
        <v>0</v>
      </c>
      <c r="K19" s="189"/>
      <c r="L19" s="189"/>
    </row>
    <row r="20" spans="1:12" ht="15.75">
      <c r="A20" s="437" t="s">
        <v>63</v>
      </c>
      <c r="B20" s="438">
        <f>IF(ISNUMBER(Calculations!B27),Calculations!B27,"not applicable")</f>
        <v>25.19038613053613</v>
      </c>
      <c r="C20" s="438">
        <f>IF('Data entry screen'!D20="None","",Calculations!C27)</f>
      </c>
      <c r="D20" s="439">
        <f t="shared" si="0"/>
        <v>0</v>
      </c>
      <c r="E20" s="443">
        <f>IF('Data entry screen'!$B$14="High crop, intensive contact with treated crop","",B20*$D20/$B$7)</f>
        <v>0</v>
      </c>
      <c r="F20" s="423"/>
      <c r="G20" s="444">
        <f>IF(AND(F7="None",B20="not applicable"),"",IF(F7="None","",C20*$D20/$B$7))</f>
      </c>
      <c r="H20" s="442" t="s">
        <v>33</v>
      </c>
      <c r="I20" s="189"/>
      <c r="J20" s="277">
        <f>IF(ISNUMBER(G20),G20,IF(G20="",E20,""))</f>
        <v>0</v>
      </c>
      <c r="K20" s="189"/>
      <c r="L20" s="189"/>
    </row>
    <row r="21" spans="1:12" ht="15.75">
      <c r="A21" s="445" t="s">
        <v>64</v>
      </c>
      <c r="B21" s="446">
        <f>IF(F9="T-shirt + shorts","",IF(ISNUMBER(Calculations!B30),Calculations!B30,"not applicable"))</f>
        <v>17.08412631842649</v>
      </c>
      <c r="C21" s="429">
        <f>IF(AND(OR('Data entry screen'!B14="High crop, standard",'Data entry screen'!B14="High crop, intensive contact with treated crop",'Data entry screen'!B14="Low crop, intensive contact with treated crop"),'Data entry screen'!D23="Impervious clothing"),Calculations!C30,"")</f>
      </c>
      <c r="D21" s="447">
        <f t="shared" si="0"/>
        <v>0</v>
      </c>
      <c r="E21" s="446">
        <f>IF(B21="","",IF('Data entry screen'!$B$14="High crop, intensive contact with treated crop","",B21*$D21/$B$7))</f>
        <v>0</v>
      </c>
      <c r="F21" s="448">
        <f>IF(F9="T-shirt + shorts","",IF(AND('Data entry screen'!D23="Impervious clothing",OR('Data entry screen'!B14="Low crop, intensive contact with treated crop",'Data entry screen'!B14="High crop, intensive contact with treated crop")),"",IF(OR(AND('Data entry screen'!B14="High crop, standard",'Data entry screen'!D23="Coverall"),'Data entry screen'!B14="Low crop, standard",'Data entry screen'!B14="Low crop, intensive contact with treated crop",'Data entry screen'!B14="High crop, intensive contact with treated crop"),"",Calculations!D30)))</f>
      </c>
      <c r="G21" s="449">
        <f>IF(F9="T-shirt + shorts","",IF(F9="Coverall","",IF(AND(OR('Data entry screen'!B14="Low crop, intensive contact with treated crop",'Data entry screen'!B14="High crop, intensive contact with treated crop"),F9="Impervious clothing"),C21*D21/$B$7,IF('Data entry screen'!B14="Low crop, standard","",C21*$F21*$D21/$B$7))))</f>
      </c>
      <c r="H21" s="450" t="s">
        <v>35</v>
      </c>
      <c r="I21" s="189"/>
      <c r="J21" s="277">
        <f>IF(ISNUMBER(G21),G21,IF(G21="",E21,""))</f>
        <v>0</v>
      </c>
      <c r="K21" s="189"/>
      <c r="L21" s="189"/>
    </row>
    <row r="22" spans="1:12" ht="14.25" customHeight="1">
      <c r="A22" s="451"/>
      <c r="B22" s="168"/>
      <c r="C22" s="452" t="s">
        <v>379</v>
      </c>
      <c r="D22" s="168"/>
      <c r="E22" s="168"/>
      <c r="F22" s="168"/>
      <c r="G22" s="168"/>
      <c r="H22" s="168"/>
      <c r="I22" s="189"/>
      <c r="J22" s="189"/>
      <c r="K22" s="189"/>
      <c r="L22" s="189"/>
    </row>
    <row r="23" spans="1:11" ht="15.75">
      <c r="A23" s="275"/>
      <c r="B23" s="168"/>
      <c r="C23" s="168"/>
      <c r="D23" s="168"/>
      <c r="E23" s="168"/>
      <c r="F23" s="168"/>
      <c r="G23" s="168"/>
      <c r="H23" s="168"/>
      <c r="I23" s="171"/>
      <c r="J23" s="171"/>
      <c r="K23" s="171"/>
    </row>
    <row r="24" spans="1:11" ht="15.75">
      <c r="A24" s="415" t="s">
        <v>37</v>
      </c>
      <c r="B24" s="453"/>
      <c r="C24" s="453"/>
      <c r="D24" s="672" t="s">
        <v>305</v>
      </c>
      <c r="E24" s="672"/>
      <c r="F24" s="672" t="s">
        <v>314</v>
      </c>
      <c r="G24" s="672"/>
      <c r="H24" s="168"/>
      <c r="I24" s="175" t="s">
        <v>305</v>
      </c>
      <c r="J24" s="171"/>
      <c r="K24" s="171"/>
    </row>
    <row r="25" spans="1:11" ht="46.5">
      <c r="A25" s="454" t="s">
        <v>29</v>
      </c>
      <c r="B25" s="455"/>
      <c r="C25" s="432" t="s">
        <v>82</v>
      </c>
      <c r="D25" s="454" t="s">
        <v>376</v>
      </c>
      <c r="E25" s="456" t="s">
        <v>58</v>
      </c>
      <c r="F25" s="454" t="s">
        <v>376</v>
      </c>
      <c r="G25" s="457" t="s">
        <v>58</v>
      </c>
      <c r="H25" s="168"/>
      <c r="I25" s="169" t="s">
        <v>311</v>
      </c>
      <c r="J25" s="169" t="s">
        <v>312</v>
      </c>
      <c r="K25" s="171"/>
    </row>
    <row r="26" spans="1:11" ht="15.75">
      <c r="A26" s="431"/>
      <c r="B26" s="418"/>
      <c r="C26" s="458"/>
      <c r="D26" s="431"/>
      <c r="E26" s="459"/>
      <c r="F26" s="431"/>
      <c r="G26" s="460"/>
      <c r="H26" s="168"/>
      <c r="I26" s="176"/>
      <c r="J26" s="176"/>
      <c r="K26" s="171"/>
    </row>
    <row r="27" spans="1:11" ht="15.75">
      <c r="A27" s="461" t="s">
        <v>83</v>
      </c>
      <c r="B27" s="414" t="s">
        <v>38</v>
      </c>
      <c r="C27" s="462">
        <f>B9</f>
        <v>100</v>
      </c>
      <c r="D27" s="463">
        <f>E17</f>
        <v>0</v>
      </c>
      <c r="E27" s="464">
        <f>IF(D27="","",IF(C27=0,"",D27*C27/100))</f>
        <v>0</v>
      </c>
      <c r="F27" s="463">
        <f>IF(ISNUMBER(G17),G17,IF(AND(ISNUMBER(E17),OR(ISNUMBER(G16),ISNUMBER(G18),ISNUMBER(G19),ISNUMBER(G20),ISNUMBER(G21))),E17,""))</f>
      </c>
      <c r="G27" s="465">
        <f>IF(C27=0,"",IF(ISNUMBER(F27),F27*C27/100,""))</f>
      </c>
      <c r="H27" s="168"/>
      <c r="I27" s="177" t="str">
        <f>IF(ISNUMBER(J17),J17,"protected")</f>
        <v>protected</v>
      </c>
      <c r="J27" s="177" t="str">
        <f>IF(ISNUMBER(I27),I27*C27/100,"protected")</f>
        <v>protected</v>
      </c>
      <c r="K27" s="171"/>
    </row>
    <row r="28" spans="1:11" ht="17.25" customHeight="1">
      <c r="A28" s="466"/>
      <c r="B28" s="467" t="s">
        <v>4</v>
      </c>
      <c r="C28" s="462">
        <f>B10</f>
        <v>10</v>
      </c>
      <c r="D28" s="463">
        <f>IF(F9="T-shirt + shorts","",IF('Data entry screen'!$B$14="High crop, intensive contact with treated crop","",SUM(E19:E21)))</f>
        <v>0</v>
      </c>
      <c r="E28" s="465">
        <f>IF(D28="","",IF('Data entry screen'!B14="High crop, intensive contact with treated crop","",IF(C28=0,"",D28*C28/100)))</f>
        <v>0</v>
      </c>
      <c r="F28" s="463">
        <f>IF(AND(ISNUMBER(G19),ISNUMBER(G20),ISNUMBER(G21)),SUM(G19:G21),IF(SUM(G16:G21)=0,"",IF(AND(ISNUMBER(J19),ISNUMBER(J20),ISNUMBER(J21)),SUM(J19:J21),"")))</f>
      </c>
      <c r="G28" s="464">
        <f>IF(C28=0,"",IF(ISNUMBER(F28),F28*C28/100,""))</f>
      </c>
      <c r="H28" s="168"/>
      <c r="I28" s="177">
        <f>IF(AND(ISNUMBER(J19),ISNUMBER(J20),ISNUMBER(J21)),SUM(J19:J21),IF(AND(ISTEXT(J19),ISTEXT(J20),ISTEXT(J21)),"protected","partially unprotected"))</f>
        <v>0</v>
      </c>
      <c r="J28" s="177">
        <f>IF(ISNUMBER(I28),I28*C28/100,I28)</f>
        <v>0</v>
      </c>
      <c r="K28" s="171"/>
    </row>
    <row r="29" spans="1:11" ht="15.75">
      <c r="A29" s="461" t="s">
        <v>84</v>
      </c>
      <c r="B29" s="414" t="s">
        <v>38</v>
      </c>
      <c r="C29" s="468">
        <f>B8</f>
        <v>100</v>
      </c>
      <c r="D29" s="469">
        <f>E16</f>
        <v>0</v>
      </c>
      <c r="E29" s="470">
        <f>IF(D29="","",D29*C29/100)</f>
        <v>0</v>
      </c>
      <c r="F29" s="469">
        <f>IF(ISNUMBER(G16),G16,IF(AND(ISNUMBER(E16),OR(ISNUMBER(G17),ISNUMBER(G18),ISNUMBER(G19),ISNUMBER(G20),ISNUMBER(G21))),E16,""))</f>
      </c>
      <c r="G29" s="470">
        <f>IF(ISNUMBER(F29),F29*C29/100,"")</f>
      </c>
      <c r="H29" s="168"/>
      <c r="I29" s="177" t="str">
        <f>IF(ISNUMBER(J16),J16,"protected")</f>
        <v>protected</v>
      </c>
      <c r="J29" s="177" t="str">
        <f>IF(ISNUMBER(I29),I29*C29/100,"protected")</f>
        <v>protected</v>
      </c>
      <c r="K29" s="171"/>
    </row>
    <row r="30" spans="1:11" ht="15.75">
      <c r="A30" s="434"/>
      <c r="B30" s="429" t="s">
        <v>4</v>
      </c>
      <c r="C30" s="471">
        <f>B8</f>
        <v>100</v>
      </c>
      <c r="D30" s="472">
        <f>E18</f>
        <v>0</v>
      </c>
      <c r="E30" s="465">
        <f>IF(D30="","",D30*C30/100)</f>
        <v>0</v>
      </c>
      <c r="F30" s="472">
        <f>IF(ISNUMBER(G18),G18,IF(AND(ISNUMBER(E18),OR(ISNUMBER(G16),ISNUMBER(G17),ISNUMBER(G19),ISNUMBER(G20),ISNUMBER(G21))),E18,""))</f>
      </c>
      <c r="G30" s="473">
        <f>IF(ISNUMBER(F30),F30*C30/100,"")</f>
      </c>
      <c r="H30" s="168"/>
      <c r="I30" s="177" t="str">
        <f>IF(ISNUMBER(J18),J18,"protected")</f>
        <v>protected</v>
      </c>
      <c r="J30" s="177" t="str">
        <f>IF(ISNUMBER(I30),I30*C30/100,"protected")</f>
        <v>protected</v>
      </c>
      <c r="K30" s="171"/>
    </row>
    <row r="31" spans="1:11" ht="15.75">
      <c r="A31" s="474"/>
      <c r="B31" s="455"/>
      <c r="C31" s="475" t="s">
        <v>39</v>
      </c>
      <c r="D31" s="476"/>
      <c r="E31" s="477">
        <f>IF(AND(ISNUMBER(E27),ISNUMBER(E28),ISNUMBER(E29),ISNUMBER(E30)),SUM(E27:E30),"")</f>
        <v>0</v>
      </c>
      <c r="F31" s="476"/>
      <c r="G31" s="477">
        <f>IF(AND(ISNUMBER(G27),ISNUMBER(G28),ISNUMBER(G29),ISNUMBER(G30)),SUM(G27:G30),"")</f>
      </c>
      <c r="H31" s="168"/>
      <c r="I31" s="178"/>
      <c r="J31" s="179">
        <f>IF(OR(ISNUMBER(J27),ISNUMBER(J19),ISNUMBER(J20),ISNUMBER(J21),ISNUMBER(J29),ISNUMBER(J30)),SUM(G33:G36),"protected")</f>
        <v>0</v>
      </c>
      <c r="K31" s="171"/>
    </row>
    <row r="32" spans="1:7" ht="15.75">
      <c r="A32" s="10" t="s">
        <v>378</v>
      </c>
      <c r="B32" s="10"/>
      <c r="C32" s="28"/>
      <c r="D32" s="102" t="s">
        <v>334</v>
      </c>
      <c r="E32" s="102"/>
      <c r="F32" s="102"/>
      <c r="G32" s="102"/>
    </row>
    <row r="33" spans="1:8" ht="97.5" customHeight="1">
      <c r="A33" s="668" t="s">
        <v>606</v>
      </c>
      <c r="B33" s="668"/>
      <c r="C33" s="668"/>
      <c r="D33" s="668"/>
      <c r="E33" s="668"/>
      <c r="F33" s="668"/>
      <c r="G33" s="668"/>
      <c r="H33" s="668"/>
    </row>
    <row r="34" spans="1:7" ht="15.75">
      <c r="A34" s="10"/>
      <c r="B34" s="10"/>
      <c r="C34" s="28"/>
      <c r="D34" s="167"/>
      <c r="E34" s="167"/>
      <c r="F34" s="167"/>
      <c r="G34" s="167"/>
    </row>
    <row r="35" spans="1:7" ht="15.75">
      <c r="A35" s="10"/>
      <c r="B35" s="10"/>
      <c r="C35" s="28"/>
      <c r="D35" s="162"/>
      <c r="E35" s="162"/>
      <c r="F35" s="162"/>
      <c r="G35" s="167"/>
    </row>
    <row r="36" spans="1:7" ht="15.75">
      <c r="A36" s="10"/>
      <c r="B36" s="10"/>
      <c r="C36" s="28"/>
      <c r="D36" s="162"/>
      <c r="E36" s="162"/>
      <c r="F36" s="162"/>
      <c r="G36" s="167"/>
    </row>
    <row r="37" spans="4:6" ht="15.75">
      <c r="D37" s="162"/>
      <c r="E37" s="162"/>
      <c r="F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sheetData>
  <sheetProtection sheet="1" objects="1" scenarios="1" formatCells="0" formatColumns="0" formatRows="0"/>
  <mergeCells count="7">
    <mergeCell ref="A33:H33"/>
    <mergeCell ref="A13:A14"/>
    <mergeCell ref="D13:D14"/>
    <mergeCell ref="B13:C13"/>
    <mergeCell ref="F24:G24"/>
    <mergeCell ref="D24:E2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J28 G17" formula="1"/>
    <ignoredError sqref="E3" unlockedFormula="1"/>
  </ignoredErrors>
  <legacyDrawingHF r:id="rId1"/>
</worksheet>
</file>

<file path=xl/worksheets/sheet20.xml><?xml version="1.0" encoding="utf-8"?>
<worksheet xmlns="http://schemas.openxmlformats.org/spreadsheetml/2006/main" xmlns:r="http://schemas.openxmlformats.org/officeDocument/2006/relationships">
  <sheetPr codeName="Feuil8"/>
  <dimension ref="A1:O40"/>
  <sheetViews>
    <sheetView zoomScale="80" zoomScaleNormal="80" zoomScalePageLayoutView="0" workbookViewId="0" topLeftCell="A1">
      <selection activeCell="E26" sqref="E26"/>
    </sheetView>
  </sheetViews>
  <sheetFormatPr defaultColWidth="11.421875" defaultRowHeight="12.75"/>
  <cols>
    <col min="1" max="1" width="24.8515625" style="281" customWidth="1"/>
    <col min="2" max="2" width="17.28125" style="281" bestFit="1" customWidth="1"/>
    <col min="3" max="3" width="16.140625" style="281" bestFit="1" customWidth="1"/>
    <col min="4" max="4" width="24.8515625" style="281" bestFit="1" customWidth="1"/>
    <col min="5" max="7" width="16.7109375" style="281" customWidth="1"/>
    <col min="8" max="8" width="16.00390625" style="281" bestFit="1" customWidth="1"/>
    <col min="9" max="9" width="16.421875" style="171" customWidth="1"/>
    <col min="10" max="10" width="20.00390625" style="171" bestFit="1" customWidth="1"/>
    <col min="11" max="16384" width="11.421875" style="281" customWidth="1"/>
  </cols>
  <sheetData>
    <row r="1" spans="1:9" ht="15.75">
      <c r="A1" s="338" t="str">
        <f>"Operator exposure estimate: Greenhouse model. "&amp;'Data entry screen'!B36</f>
        <v>Operator exposure estimate: Greenhouse model. High crop, standard</v>
      </c>
      <c r="B1" s="339"/>
      <c r="C1" s="339"/>
      <c r="D1" s="340"/>
      <c r="E1" s="340"/>
      <c r="I1" s="171" t="str">
        <f>'Data entry screen'!B14</f>
        <v>High crop, standard</v>
      </c>
    </row>
    <row r="2" spans="1:7" ht="15.75">
      <c r="A2" s="282" t="s">
        <v>6</v>
      </c>
      <c r="B2" s="283" t="str">
        <f>'Data entry screen'!$B$3</f>
        <v>Dummy</v>
      </c>
      <c r="C2" s="284"/>
      <c r="D2" s="285"/>
      <c r="E2" s="285"/>
      <c r="F2" s="285"/>
      <c r="G2" s="286"/>
    </row>
    <row r="3" spans="1:7" ht="15.75">
      <c r="A3" s="286" t="s">
        <v>24</v>
      </c>
      <c r="B3" s="287" t="str">
        <f>'Data entry screen'!$B$6</f>
        <v>Substance 1</v>
      </c>
      <c r="C3" s="288"/>
      <c r="D3" s="289" t="s">
        <v>92</v>
      </c>
      <c r="E3" s="290">
        <f>'Data entry screen'!B7</f>
        <v>100</v>
      </c>
      <c r="F3" s="281" t="s">
        <v>93</v>
      </c>
      <c r="G3" s="286"/>
    </row>
    <row r="4" spans="1:7" ht="15.75">
      <c r="A4" s="286" t="s">
        <v>5</v>
      </c>
      <c r="B4" s="287" t="str">
        <f>'Data entry screen'!$B$4</f>
        <v>WG</v>
      </c>
      <c r="C4" s="291"/>
      <c r="D4" s="394" t="s">
        <v>11</v>
      </c>
      <c r="E4" s="395" t="s">
        <v>25</v>
      </c>
      <c r="F4" s="395" t="s">
        <v>3</v>
      </c>
      <c r="G4" s="292"/>
    </row>
    <row r="5" spans="1:7" ht="15.75">
      <c r="A5" s="286" t="s">
        <v>313</v>
      </c>
      <c r="B5" s="293">
        <f>'Data entry screen'!B37</f>
        <v>0</v>
      </c>
      <c r="C5" s="288"/>
      <c r="D5" s="395"/>
      <c r="E5" s="395" t="s">
        <v>26</v>
      </c>
      <c r="F5" s="395" t="s">
        <v>3</v>
      </c>
      <c r="G5" s="292"/>
    </row>
    <row r="6" spans="1:7" ht="15.75">
      <c r="A6" s="286" t="s">
        <v>7</v>
      </c>
      <c r="B6" s="294">
        <f>'Data entry screen'!B39</f>
        <v>1</v>
      </c>
      <c r="C6" s="295"/>
      <c r="D6" s="394" t="s">
        <v>12</v>
      </c>
      <c r="E6" s="395" t="s">
        <v>25</v>
      </c>
      <c r="F6" s="395" t="s">
        <v>3</v>
      </c>
      <c r="G6" s="286"/>
    </row>
    <row r="7" spans="1:7" ht="15.75">
      <c r="A7" s="286" t="s">
        <v>78</v>
      </c>
      <c r="B7" s="294">
        <f>'Data entry screen'!B5</f>
        <v>70</v>
      </c>
      <c r="C7" s="296"/>
      <c r="D7" s="396"/>
      <c r="E7" s="395" t="s">
        <v>26</v>
      </c>
      <c r="F7" s="395" t="s">
        <v>3</v>
      </c>
      <c r="G7" s="286"/>
    </row>
    <row r="8" spans="1:7" ht="15.75">
      <c r="A8" s="286" t="s">
        <v>53</v>
      </c>
      <c r="B8" s="294">
        <f>'Data entry screen'!B8</f>
        <v>100</v>
      </c>
      <c r="C8" s="288"/>
      <c r="D8" s="396"/>
      <c r="E8" s="395" t="s">
        <v>27</v>
      </c>
      <c r="F8" s="395" t="s">
        <v>3</v>
      </c>
      <c r="G8" s="286"/>
    </row>
    <row r="9" spans="1:7" ht="15.75">
      <c r="A9" s="286" t="s">
        <v>52</v>
      </c>
      <c r="B9" s="297">
        <f>'Data entry screen'!B10</f>
        <v>100</v>
      </c>
      <c r="C9" s="288" t="s">
        <v>79</v>
      </c>
      <c r="D9" s="397"/>
      <c r="E9" s="395" t="s">
        <v>28</v>
      </c>
      <c r="F9" s="395" t="s">
        <v>381</v>
      </c>
      <c r="G9" s="286"/>
    </row>
    <row r="10" spans="1:7" ht="15.75">
      <c r="A10" s="299"/>
      <c r="B10" s="300">
        <f>'Data entry screen'!B11</f>
        <v>10</v>
      </c>
      <c r="C10" s="301" t="s">
        <v>80</v>
      </c>
      <c r="D10" s="302"/>
      <c r="E10" s="302"/>
      <c r="F10" s="302"/>
      <c r="G10" s="286"/>
    </row>
    <row r="11" spans="1:3" ht="15.75">
      <c r="A11" s="288"/>
      <c r="B11" s="288"/>
      <c r="C11" s="303"/>
    </row>
    <row r="12" spans="1:3" ht="15.75">
      <c r="A12" s="686" t="s">
        <v>87</v>
      </c>
      <c r="B12" s="686"/>
      <c r="C12" s="486" t="str">
        <f>'Data entry screen'!D3</f>
        <v>75th percentile</v>
      </c>
    </row>
    <row r="13" spans="1:12" ht="46.5" customHeight="1">
      <c r="A13" s="697" t="s">
        <v>29</v>
      </c>
      <c r="B13" s="699" t="s">
        <v>377</v>
      </c>
      <c r="C13" s="699"/>
      <c r="D13" s="699" t="s">
        <v>40</v>
      </c>
      <c r="E13" s="690" t="s">
        <v>51</v>
      </c>
      <c r="F13" s="691"/>
      <c r="G13" s="319"/>
      <c r="H13" s="292"/>
      <c r="J13" s="700"/>
      <c r="K13" s="700"/>
      <c r="L13" s="700"/>
    </row>
    <row r="14" spans="1:15" ht="15.75">
      <c r="A14" s="698"/>
      <c r="B14" s="690" t="s">
        <v>394</v>
      </c>
      <c r="C14" s="691"/>
      <c r="D14" s="699"/>
      <c r="E14" s="690" t="s">
        <v>394</v>
      </c>
      <c r="F14" s="691"/>
      <c r="G14" s="406"/>
      <c r="H14" s="292"/>
      <c r="J14" s="170"/>
      <c r="O14" s="307"/>
    </row>
    <row r="15" spans="1:10" ht="15.75">
      <c r="A15" s="292"/>
      <c r="B15" s="398"/>
      <c r="C15" s="399"/>
      <c r="D15" s="400"/>
      <c r="E15" s="298"/>
      <c r="F15" s="308"/>
      <c r="G15" s="309" t="s">
        <v>30</v>
      </c>
      <c r="H15" s="280"/>
      <c r="J15" s="281"/>
    </row>
    <row r="16" spans="1:10" ht="15.75">
      <c r="A16" s="310" t="s">
        <v>383</v>
      </c>
      <c r="B16" s="695">
        <f>Calculations!C57</f>
        <v>0.013343799427581531</v>
      </c>
      <c r="C16" s="696"/>
      <c r="D16" s="401">
        <f aca="true" t="shared" si="0" ref="D16:D21">$E$3*$B$5*$B$6/1000</f>
        <v>0</v>
      </c>
      <c r="E16" s="692">
        <f>B16*$D16/$B$7</f>
        <v>0</v>
      </c>
      <c r="F16" s="693"/>
      <c r="G16" s="311" t="s">
        <v>31</v>
      </c>
      <c r="H16" s="171"/>
      <c r="I16" s="173"/>
      <c r="J16" s="281"/>
    </row>
    <row r="17" spans="1:10" ht="15.75">
      <c r="A17" s="310" t="s">
        <v>384</v>
      </c>
      <c r="B17" s="695">
        <f>Calculations!B60</f>
        <v>2.2951175335732805</v>
      </c>
      <c r="C17" s="696"/>
      <c r="D17" s="401">
        <f t="shared" si="0"/>
        <v>0</v>
      </c>
      <c r="E17" s="692">
        <f>B17*$D17/$B$7</f>
        <v>0</v>
      </c>
      <c r="F17" s="693"/>
      <c r="G17" s="311" t="s">
        <v>36</v>
      </c>
      <c r="H17" s="171"/>
      <c r="I17" s="174"/>
      <c r="J17" s="281"/>
    </row>
    <row r="18" spans="1:10" ht="15.75">
      <c r="A18" s="310" t="s">
        <v>385</v>
      </c>
      <c r="B18" s="695">
        <f>Calculations!B63</f>
        <v>0.6769548608495896</v>
      </c>
      <c r="C18" s="696"/>
      <c r="D18" s="401">
        <f t="shared" si="0"/>
        <v>0</v>
      </c>
      <c r="E18" s="692">
        <f>B18*$D18/$B$7</f>
        <v>0</v>
      </c>
      <c r="F18" s="693"/>
      <c r="G18" s="311" t="s">
        <v>32</v>
      </c>
      <c r="H18" s="171"/>
      <c r="I18" s="174"/>
      <c r="J18" s="281"/>
    </row>
    <row r="19" spans="1:10" ht="15.75">
      <c r="A19" s="310" t="s">
        <v>386</v>
      </c>
      <c r="B19" s="695">
        <f>Calculations!B66</f>
        <v>0.806060606060606</v>
      </c>
      <c r="C19" s="696"/>
      <c r="D19" s="401">
        <f t="shared" si="0"/>
        <v>0</v>
      </c>
      <c r="E19" s="692">
        <f>B19*$D19/$B$7</f>
        <v>0</v>
      </c>
      <c r="F19" s="693"/>
      <c r="G19" s="311" t="s">
        <v>34</v>
      </c>
      <c r="H19" s="171"/>
      <c r="I19" s="276"/>
      <c r="J19" s="281"/>
    </row>
    <row r="20" spans="1:10" ht="15.75">
      <c r="A20" s="310" t="s">
        <v>387</v>
      </c>
      <c r="B20" s="695">
        <f>IF(ISNUMBER(Calculations!B69),Calculations!B69,"not applicable")</f>
        <v>25.19038613053613</v>
      </c>
      <c r="C20" s="696"/>
      <c r="D20" s="401">
        <f t="shared" si="0"/>
        <v>0</v>
      </c>
      <c r="E20" s="703">
        <f>IF(ISNUMBER(B20),B20*$D20/$B$7,"")</f>
        <v>0</v>
      </c>
      <c r="F20" s="704"/>
      <c r="G20" s="311" t="s">
        <v>33</v>
      </c>
      <c r="H20" s="171"/>
      <c r="I20" s="277"/>
      <c r="J20" s="281"/>
    </row>
    <row r="21" spans="1:10" ht="15.75">
      <c r="A21" s="312" t="s">
        <v>388</v>
      </c>
      <c r="B21" s="688" t="str">
        <f>IF(AND('Data entry screen'!D45="T-shirt + shorts",ISNUMBER(Calculations!F72)),Calculations!F72,"not applicable")</f>
        <v>not applicable</v>
      </c>
      <c r="C21" s="689"/>
      <c r="D21" s="402">
        <f t="shared" si="0"/>
        <v>0</v>
      </c>
      <c r="E21" s="705" t="str">
        <f>IF(B21="not applicable","not applicable",B21*$D21/$B$7)</f>
        <v>not applicable</v>
      </c>
      <c r="F21" s="689"/>
      <c r="G21" s="313" t="s">
        <v>35</v>
      </c>
      <c r="H21" s="171"/>
      <c r="I21" s="277"/>
      <c r="J21" s="281"/>
    </row>
    <row r="22" ht="14.25" customHeight="1">
      <c r="A22" s="314"/>
    </row>
    <row r="23" spans="1:9" ht="15.75">
      <c r="A23" s="686" t="s">
        <v>395</v>
      </c>
      <c r="B23" s="686"/>
      <c r="C23" s="315"/>
      <c r="D23" s="701" t="s">
        <v>394</v>
      </c>
      <c r="E23" s="702"/>
      <c r="I23" s="175"/>
    </row>
    <row r="24" spans="1:10" ht="46.5">
      <c r="A24" s="316" t="s">
        <v>29</v>
      </c>
      <c r="B24" s="317"/>
      <c r="C24" s="305" t="s">
        <v>82</v>
      </c>
      <c r="D24" s="305" t="s">
        <v>389</v>
      </c>
      <c r="E24" s="318" t="s">
        <v>390</v>
      </c>
      <c r="F24" s="687" t="str">
        <f>"AOEL = "&amp;'Data entry screen'!B12&amp;" mg/kg bw/d"</f>
        <v>AOEL = 0,1 mg/kg bw/d</v>
      </c>
      <c r="G24" s="687"/>
      <c r="I24" s="169"/>
      <c r="J24" s="169"/>
    </row>
    <row r="25" spans="1:10" ht="15.75">
      <c r="A25" s="304"/>
      <c r="B25" s="285"/>
      <c r="C25" s="319"/>
      <c r="D25" s="319"/>
      <c r="E25" s="320"/>
      <c r="F25" s="680" t="s">
        <v>396</v>
      </c>
      <c r="G25" s="681"/>
      <c r="I25" s="176"/>
      <c r="J25" s="176"/>
    </row>
    <row r="26" spans="1:10" ht="15.75">
      <c r="A26" s="321" t="s">
        <v>83</v>
      </c>
      <c r="B26" s="298" t="s">
        <v>38</v>
      </c>
      <c r="C26" s="322">
        <f>B9</f>
        <v>100</v>
      </c>
      <c r="D26" s="403">
        <f>E17</f>
        <v>0</v>
      </c>
      <c r="E26" s="323">
        <f>D26*C26/100</f>
        <v>0</v>
      </c>
      <c r="F26" s="682"/>
      <c r="G26" s="683"/>
      <c r="I26" s="177"/>
      <c r="J26" s="177"/>
    </row>
    <row r="27" spans="1:10" ht="17.25" customHeight="1">
      <c r="A27" s="325"/>
      <c r="B27" s="326" t="s">
        <v>4</v>
      </c>
      <c r="C27" s="322">
        <f>B10</f>
        <v>10</v>
      </c>
      <c r="D27" s="403" t="str">
        <f>IF(AND(ISNUMBER(E19),ISNUMBER(E20),ISNUMBER(E21)),SUM(E19:E21),"not applicable")</f>
        <v>not applicable</v>
      </c>
      <c r="E27" s="323" t="str">
        <f>IF(D27="","",IF(D27="not applicable","not applicable",IF(C27=0,"",D27*C27/100)))</f>
        <v>not applicable</v>
      </c>
      <c r="F27" s="682"/>
      <c r="G27" s="683"/>
      <c r="I27" s="177"/>
      <c r="J27" s="177"/>
    </row>
    <row r="28" spans="1:10" ht="15.75">
      <c r="A28" s="321" t="s">
        <v>84</v>
      </c>
      <c r="B28" s="298" t="s">
        <v>38</v>
      </c>
      <c r="C28" s="327">
        <f>B8</f>
        <v>100</v>
      </c>
      <c r="D28" s="404">
        <f>E16</f>
        <v>0</v>
      </c>
      <c r="E28" s="328">
        <f>IF(D28="","",D28*C28/100)</f>
        <v>0</v>
      </c>
      <c r="F28" s="682"/>
      <c r="G28" s="683"/>
      <c r="I28" s="177"/>
      <c r="J28" s="177"/>
    </row>
    <row r="29" spans="1:10" ht="15.75">
      <c r="A29" s="306"/>
      <c r="B29" s="302" t="s">
        <v>4</v>
      </c>
      <c r="C29" s="329">
        <f>B8</f>
        <v>100</v>
      </c>
      <c r="D29" s="405">
        <f>E18</f>
        <v>0</v>
      </c>
      <c r="E29" s="324">
        <f>IF(D29="","",D29*C29/100)</f>
        <v>0</v>
      </c>
      <c r="F29" s="684"/>
      <c r="G29" s="685"/>
      <c r="I29" s="177"/>
      <c r="J29" s="177"/>
    </row>
    <row r="30" spans="1:10" ht="15.75">
      <c r="A30" s="330"/>
      <c r="B30" s="317"/>
      <c r="C30" s="336" t="s">
        <v>39</v>
      </c>
      <c r="D30" s="337"/>
      <c r="E30" s="335" t="str">
        <f>IF(AND(ISNUMBER(E26),ISNUMBER(E27),ISNUMBER(E28),ISNUMBER(E29)),SUM(E26:E29),"not applicable")</f>
        <v>not applicable</v>
      </c>
      <c r="F30" s="678" t="str">
        <f>IF(ISNUMBER(E30),E30*100/'Data entry screen'!B12,"not applicable")</f>
        <v>not applicable</v>
      </c>
      <c r="G30" s="679"/>
      <c r="I30" s="178"/>
      <c r="J30" s="179"/>
    </row>
    <row r="31" spans="1:7" ht="15.75">
      <c r="A31" s="298"/>
      <c r="B31" s="298"/>
      <c r="C31" s="331"/>
      <c r="D31" s="332"/>
      <c r="E31" s="332"/>
      <c r="F31" s="332"/>
      <c r="G31" s="332"/>
    </row>
    <row r="32" spans="1:8" ht="15.75">
      <c r="A32" s="694"/>
      <c r="B32" s="694"/>
      <c r="C32" s="694"/>
      <c r="D32" s="694"/>
      <c r="E32" s="694"/>
      <c r="F32" s="694"/>
      <c r="G32" s="694"/>
      <c r="H32" s="694"/>
    </row>
    <row r="33" spans="1:7" ht="15.75">
      <c r="A33" s="298"/>
      <c r="B33" s="298"/>
      <c r="C33" s="331"/>
      <c r="D33" s="333"/>
      <c r="E33" s="333"/>
      <c r="F33" s="333"/>
      <c r="G33" s="333"/>
    </row>
    <row r="34" spans="1:7" ht="15.75">
      <c r="A34" s="298"/>
      <c r="B34" s="298"/>
      <c r="C34" s="331"/>
      <c r="D34" s="334"/>
      <c r="E34" s="334"/>
      <c r="F34" s="334"/>
      <c r="G34" s="333"/>
    </row>
    <row r="35" spans="1:7" ht="15.75">
      <c r="A35" s="298"/>
      <c r="B35" s="298"/>
      <c r="C35" s="331"/>
      <c r="D35" s="334"/>
      <c r="E35" s="334"/>
      <c r="F35" s="334"/>
      <c r="G35" s="333"/>
    </row>
    <row r="36" spans="4:6" ht="15.75">
      <c r="D36" s="334"/>
      <c r="E36" s="334"/>
      <c r="F36" s="334"/>
    </row>
    <row r="37" spans="4:7" ht="15.75">
      <c r="D37" s="334"/>
      <c r="E37" s="334"/>
      <c r="F37" s="334"/>
      <c r="G37" s="333"/>
    </row>
    <row r="38" spans="4:7" ht="15.75">
      <c r="D38" s="333"/>
      <c r="E38" s="333"/>
      <c r="F38" s="333"/>
      <c r="G38" s="333"/>
    </row>
    <row r="39" spans="4:7" ht="15.75">
      <c r="D39" s="334"/>
      <c r="E39" s="334"/>
      <c r="F39" s="334"/>
      <c r="G39" s="333"/>
    </row>
    <row r="40" spans="4:7" ht="15.75">
      <c r="D40" s="334"/>
      <c r="E40" s="334"/>
      <c r="F40" s="334"/>
      <c r="G40" s="333"/>
    </row>
  </sheetData>
  <sheetProtection sheet="1" objects="1" scenarios="1"/>
  <mergeCells count="26">
    <mergeCell ref="A12:B12"/>
    <mergeCell ref="A13:A14"/>
    <mergeCell ref="B13:C13"/>
    <mergeCell ref="D13:D14"/>
    <mergeCell ref="B17:C17"/>
    <mergeCell ref="E17:F17"/>
    <mergeCell ref="E13:F13"/>
    <mergeCell ref="J13:L13"/>
    <mergeCell ref="B14:C14"/>
    <mergeCell ref="E14:F14"/>
    <mergeCell ref="B16:C16"/>
    <mergeCell ref="E16:F16"/>
    <mergeCell ref="B20:C20"/>
    <mergeCell ref="E20:F20"/>
    <mergeCell ref="B21:C21"/>
    <mergeCell ref="E21:F21"/>
    <mergeCell ref="B18:C18"/>
    <mergeCell ref="E18:F18"/>
    <mergeCell ref="B19:C19"/>
    <mergeCell ref="E19:F19"/>
    <mergeCell ref="F30:G30"/>
    <mergeCell ref="A32:H32"/>
    <mergeCell ref="A23:B23"/>
    <mergeCell ref="D23:E23"/>
    <mergeCell ref="F24:G24"/>
    <mergeCell ref="F25:G29"/>
  </mergeCells>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9"/>
  <dimension ref="A1:O40"/>
  <sheetViews>
    <sheetView zoomScale="80" zoomScaleNormal="80" zoomScalePageLayoutView="0" workbookViewId="0" topLeftCell="A1">
      <selection activeCell="E26" sqref="E26"/>
    </sheetView>
  </sheetViews>
  <sheetFormatPr defaultColWidth="11.421875" defaultRowHeight="12.75"/>
  <cols>
    <col min="1" max="1" width="24.8515625" style="281" customWidth="1"/>
    <col min="2" max="2" width="17.28125" style="281" bestFit="1" customWidth="1"/>
    <col min="3" max="3" width="16.140625" style="281" bestFit="1" customWidth="1"/>
    <col min="4" max="4" width="24.8515625" style="281" bestFit="1" customWidth="1"/>
    <col min="5" max="7" width="16.7109375" style="281" customWidth="1"/>
    <col min="8" max="8" width="16.00390625" style="281" bestFit="1" customWidth="1"/>
    <col min="9" max="9" width="16.421875" style="171" customWidth="1"/>
    <col min="10" max="10" width="20.00390625" style="171" bestFit="1" customWidth="1"/>
    <col min="11" max="16384" width="11.421875" style="281" customWidth="1"/>
  </cols>
  <sheetData>
    <row r="1" spans="1:9" ht="15.75">
      <c r="A1" s="338" t="str">
        <f>"Operator exposure estimate: Greenhouse model. "&amp;'Data entry screen'!B47</f>
        <v>Operator exposure estimate: Greenhouse model. High crop, standard</v>
      </c>
      <c r="B1" s="339"/>
      <c r="C1" s="339"/>
      <c r="D1" s="340"/>
      <c r="E1" s="340"/>
      <c r="I1" s="171" t="str">
        <f>'Data entry screen'!B14</f>
        <v>High crop, standard</v>
      </c>
    </row>
    <row r="2" spans="1:7" ht="15.75">
      <c r="A2" s="282" t="s">
        <v>6</v>
      </c>
      <c r="B2" s="283" t="str">
        <f>'Data entry screen'!$B$3</f>
        <v>Dummy</v>
      </c>
      <c r="C2" s="284"/>
      <c r="D2" s="285"/>
      <c r="E2" s="285"/>
      <c r="F2" s="285"/>
      <c r="G2" s="286"/>
    </row>
    <row r="3" spans="1:7" ht="15.75">
      <c r="A3" s="286" t="s">
        <v>24</v>
      </c>
      <c r="B3" s="287" t="str">
        <f>'Data entry screen'!$B$6</f>
        <v>Substance 1</v>
      </c>
      <c r="C3" s="288"/>
      <c r="D3" s="289" t="s">
        <v>92</v>
      </c>
      <c r="E3" s="290">
        <f>'Data entry screen'!B7</f>
        <v>100</v>
      </c>
      <c r="F3" s="281" t="s">
        <v>93</v>
      </c>
      <c r="G3" s="286"/>
    </row>
    <row r="4" spans="1:7" ht="15.75">
      <c r="A4" s="286" t="s">
        <v>5</v>
      </c>
      <c r="B4" s="287" t="str">
        <f>'Data entry screen'!$B$4</f>
        <v>WG</v>
      </c>
      <c r="C4" s="291"/>
      <c r="D4" s="394" t="s">
        <v>11</v>
      </c>
      <c r="E4" s="395" t="s">
        <v>25</v>
      </c>
      <c r="F4" s="395" t="s">
        <v>3</v>
      </c>
      <c r="G4" s="292"/>
    </row>
    <row r="5" spans="1:7" ht="15.75">
      <c r="A5" s="286" t="s">
        <v>313</v>
      </c>
      <c r="B5" s="293">
        <f>'Data entry screen'!B48</f>
        <v>0</v>
      </c>
      <c r="C5" s="288"/>
      <c r="D5" s="395"/>
      <c r="E5" s="395" t="s">
        <v>26</v>
      </c>
      <c r="F5" s="395" t="s">
        <v>3</v>
      </c>
      <c r="G5" s="292"/>
    </row>
    <row r="6" spans="1:7" ht="15.75">
      <c r="A6" s="286" t="s">
        <v>7</v>
      </c>
      <c r="B6" s="294">
        <f>'Data entry screen'!B50</f>
        <v>1</v>
      </c>
      <c r="C6" s="295"/>
      <c r="D6" s="394" t="s">
        <v>12</v>
      </c>
      <c r="E6" s="395" t="s">
        <v>25</v>
      </c>
      <c r="F6" s="395" t="s">
        <v>3</v>
      </c>
      <c r="G6" s="286"/>
    </row>
    <row r="7" spans="1:7" ht="15.75">
      <c r="A7" s="286" t="s">
        <v>78</v>
      </c>
      <c r="B7" s="294">
        <f>'Data entry screen'!B5</f>
        <v>70</v>
      </c>
      <c r="C7" s="296"/>
      <c r="D7" s="396"/>
      <c r="E7" s="395" t="s">
        <v>26</v>
      </c>
      <c r="F7" s="395" t="s">
        <v>3</v>
      </c>
      <c r="G7" s="286"/>
    </row>
    <row r="8" spans="1:7" ht="15.75">
      <c r="A8" s="286" t="s">
        <v>53</v>
      </c>
      <c r="B8" s="294">
        <f>'Data entry screen'!B8</f>
        <v>100</v>
      </c>
      <c r="C8" s="288"/>
      <c r="D8" s="396"/>
      <c r="E8" s="395" t="s">
        <v>27</v>
      </c>
      <c r="F8" s="395" t="s">
        <v>3</v>
      </c>
      <c r="G8" s="286"/>
    </row>
    <row r="9" spans="1:7" ht="15.75">
      <c r="A9" s="286" t="s">
        <v>52</v>
      </c>
      <c r="B9" s="297">
        <f>'Data entry screen'!B10</f>
        <v>100</v>
      </c>
      <c r="C9" s="288" t="s">
        <v>79</v>
      </c>
      <c r="D9" s="397"/>
      <c r="E9" s="395" t="s">
        <v>28</v>
      </c>
      <c r="F9" s="395" t="s">
        <v>381</v>
      </c>
      <c r="G9" s="286"/>
    </row>
    <row r="10" spans="1:7" ht="15.75">
      <c r="A10" s="299"/>
      <c r="B10" s="300">
        <f>'Data entry screen'!B11</f>
        <v>10</v>
      </c>
      <c r="C10" s="301" t="s">
        <v>80</v>
      </c>
      <c r="D10" s="302"/>
      <c r="E10" s="302"/>
      <c r="F10" s="302"/>
      <c r="G10" s="286"/>
    </row>
    <row r="11" spans="1:3" ht="15.75">
      <c r="A11" s="288"/>
      <c r="B11" s="288"/>
      <c r="C11" s="303"/>
    </row>
    <row r="12" spans="1:3" ht="15.75">
      <c r="A12" s="686" t="s">
        <v>87</v>
      </c>
      <c r="B12" s="686"/>
      <c r="C12" s="486" t="str">
        <f>'Data entry screen'!D3</f>
        <v>75th percentile</v>
      </c>
    </row>
    <row r="13" spans="1:12" ht="46.5" customHeight="1">
      <c r="A13" s="697" t="s">
        <v>29</v>
      </c>
      <c r="B13" s="699" t="s">
        <v>377</v>
      </c>
      <c r="C13" s="699"/>
      <c r="D13" s="699" t="s">
        <v>40</v>
      </c>
      <c r="E13" s="690" t="s">
        <v>51</v>
      </c>
      <c r="F13" s="691"/>
      <c r="G13" s="319"/>
      <c r="H13" s="292"/>
      <c r="J13" s="700"/>
      <c r="K13" s="700"/>
      <c r="L13" s="700"/>
    </row>
    <row r="14" spans="1:15" ht="15.75">
      <c r="A14" s="698"/>
      <c r="B14" s="690" t="s">
        <v>394</v>
      </c>
      <c r="C14" s="691"/>
      <c r="D14" s="699"/>
      <c r="E14" s="690" t="s">
        <v>394</v>
      </c>
      <c r="F14" s="691"/>
      <c r="G14" s="406"/>
      <c r="H14" s="292"/>
      <c r="J14" s="170"/>
      <c r="O14" s="307"/>
    </row>
    <row r="15" spans="1:10" ht="15.75">
      <c r="A15" s="292"/>
      <c r="B15" s="398"/>
      <c r="C15" s="399"/>
      <c r="D15" s="400"/>
      <c r="E15" s="298"/>
      <c r="F15" s="308"/>
      <c r="G15" s="309" t="s">
        <v>30</v>
      </c>
      <c r="H15" s="280"/>
      <c r="J15" s="281"/>
    </row>
    <row r="16" spans="1:10" ht="15.75">
      <c r="A16" s="310" t="s">
        <v>383</v>
      </c>
      <c r="B16" s="695">
        <f>Calculations!C78</f>
        <v>0.013343799427581531</v>
      </c>
      <c r="C16" s="696"/>
      <c r="D16" s="401">
        <f aca="true" t="shared" si="0" ref="D16:D21">$E$3*$B$5*$B$6/1000</f>
        <v>0</v>
      </c>
      <c r="E16" s="692">
        <f>B16*$D16/$B$7</f>
        <v>0</v>
      </c>
      <c r="F16" s="693"/>
      <c r="G16" s="311" t="s">
        <v>31</v>
      </c>
      <c r="H16" s="171"/>
      <c r="I16" s="173"/>
      <c r="J16" s="281"/>
    </row>
    <row r="17" spans="1:10" ht="15.75">
      <c r="A17" s="310" t="s">
        <v>384</v>
      </c>
      <c r="B17" s="695">
        <f>Calculations!B81</f>
        <v>2.2951175335732805</v>
      </c>
      <c r="C17" s="696"/>
      <c r="D17" s="401">
        <f t="shared" si="0"/>
        <v>0</v>
      </c>
      <c r="E17" s="692">
        <f>B17*$D17/$B$7</f>
        <v>0</v>
      </c>
      <c r="F17" s="693"/>
      <c r="G17" s="311" t="s">
        <v>36</v>
      </c>
      <c r="H17" s="171"/>
      <c r="I17" s="174"/>
      <c r="J17" s="281"/>
    </row>
    <row r="18" spans="1:10" ht="15.75">
      <c r="A18" s="310" t="s">
        <v>385</v>
      </c>
      <c r="B18" s="695">
        <f>Calculations!B84</f>
        <v>0.6769548608495896</v>
      </c>
      <c r="C18" s="696"/>
      <c r="D18" s="401">
        <f t="shared" si="0"/>
        <v>0</v>
      </c>
      <c r="E18" s="692">
        <f>B18*$D18/$B$7</f>
        <v>0</v>
      </c>
      <c r="F18" s="693"/>
      <c r="G18" s="311" t="s">
        <v>32</v>
      </c>
      <c r="H18" s="171"/>
      <c r="I18" s="174"/>
      <c r="J18" s="281"/>
    </row>
    <row r="19" spans="1:10" ht="15.75">
      <c r="A19" s="310" t="s">
        <v>386</v>
      </c>
      <c r="B19" s="695">
        <f>Calculations!B87</f>
        <v>0.806060606060606</v>
      </c>
      <c r="C19" s="696"/>
      <c r="D19" s="401">
        <f t="shared" si="0"/>
        <v>0</v>
      </c>
      <c r="E19" s="692">
        <f>B19*$D19/$B$7</f>
        <v>0</v>
      </c>
      <c r="F19" s="693"/>
      <c r="G19" s="311" t="s">
        <v>34</v>
      </c>
      <c r="H19" s="171"/>
      <c r="I19" s="276"/>
      <c r="J19" s="281"/>
    </row>
    <row r="20" spans="1:10" ht="15.75">
      <c r="A20" s="310" t="s">
        <v>387</v>
      </c>
      <c r="B20" s="695">
        <f>IF(ISNUMBER(Calculations!B90),Calculations!B90,"not applicable")</f>
        <v>25.19038613053613</v>
      </c>
      <c r="C20" s="696"/>
      <c r="D20" s="401">
        <f t="shared" si="0"/>
        <v>0</v>
      </c>
      <c r="E20" s="703">
        <f>IF(ISNUMBER(B20),B20*$D20/$B$7,"")</f>
        <v>0</v>
      </c>
      <c r="F20" s="704"/>
      <c r="G20" s="311" t="s">
        <v>33</v>
      </c>
      <c r="H20" s="171"/>
      <c r="I20" s="277"/>
      <c r="J20" s="281"/>
    </row>
    <row r="21" spans="1:10" ht="15.75">
      <c r="A21" s="312" t="s">
        <v>388</v>
      </c>
      <c r="B21" s="688" t="str">
        <f>IF(AND('Data entry screen'!D56="T-shirt + shorts",ISNUMBER(Calculations!F93)),Calculations!F93,"not applicable")</f>
        <v>not applicable</v>
      </c>
      <c r="C21" s="689"/>
      <c r="D21" s="402">
        <f t="shared" si="0"/>
        <v>0</v>
      </c>
      <c r="E21" s="705" t="str">
        <f>IF(B21="not applicable","not applicable",B21*$D21/$B$7)</f>
        <v>not applicable</v>
      </c>
      <c r="F21" s="689"/>
      <c r="G21" s="313" t="s">
        <v>35</v>
      </c>
      <c r="H21" s="171"/>
      <c r="I21" s="277"/>
      <c r="J21" s="281"/>
    </row>
    <row r="22" ht="14.25" customHeight="1">
      <c r="A22" s="314"/>
    </row>
    <row r="23" spans="1:9" ht="15.75">
      <c r="A23" s="686" t="s">
        <v>395</v>
      </c>
      <c r="B23" s="686"/>
      <c r="C23" s="315"/>
      <c r="D23" s="701" t="s">
        <v>394</v>
      </c>
      <c r="E23" s="702"/>
      <c r="I23" s="175"/>
    </row>
    <row r="24" spans="1:10" ht="46.5">
      <c r="A24" s="316" t="s">
        <v>29</v>
      </c>
      <c r="B24" s="317"/>
      <c r="C24" s="305" t="s">
        <v>82</v>
      </c>
      <c r="D24" s="305" t="s">
        <v>389</v>
      </c>
      <c r="E24" s="318" t="s">
        <v>390</v>
      </c>
      <c r="F24" s="687" t="str">
        <f>"AOEL = "&amp;'Data entry screen'!B12&amp;" mg/kg bw/d"</f>
        <v>AOEL = 0,1 mg/kg bw/d</v>
      </c>
      <c r="G24" s="687"/>
      <c r="I24" s="169"/>
      <c r="J24" s="169"/>
    </row>
    <row r="25" spans="1:10" ht="15.75">
      <c r="A25" s="304"/>
      <c r="B25" s="285"/>
      <c r="C25" s="319"/>
      <c r="D25" s="319"/>
      <c r="E25" s="320"/>
      <c r="F25" s="680" t="s">
        <v>396</v>
      </c>
      <c r="G25" s="681"/>
      <c r="I25" s="176"/>
      <c r="J25" s="176"/>
    </row>
    <row r="26" spans="1:10" ht="15.75">
      <c r="A26" s="321" t="s">
        <v>83</v>
      </c>
      <c r="B26" s="298" t="s">
        <v>38</v>
      </c>
      <c r="C26" s="322">
        <f>B9</f>
        <v>100</v>
      </c>
      <c r="D26" s="403">
        <f>E17</f>
        <v>0</v>
      </c>
      <c r="E26" s="323">
        <f>D26*C26/100</f>
        <v>0</v>
      </c>
      <c r="F26" s="682"/>
      <c r="G26" s="683"/>
      <c r="I26" s="177"/>
      <c r="J26" s="177"/>
    </row>
    <row r="27" spans="1:10" ht="17.25" customHeight="1">
      <c r="A27" s="325"/>
      <c r="B27" s="326" t="s">
        <v>4</v>
      </c>
      <c r="C27" s="322">
        <f>B10</f>
        <v>10</v>
      </c>
      <c r="D27" s="403" t="str">
        <f>IF(AND(ISNUMBER(E19),ISNUMBER(E20),ISNUMBER(E21)),SUM(E19:E21),"not applicable")</f>
        <v>not applicable</v>
      </c>
      <c r="E27" s="323" t="str">
        <f>IF(D27="","",IF(D27="not applicable","not applicable",IF(C27=0,"",D27*C27/100)))</f>
        <v>not applicable</v>
      </c>
      <c r="F27" s="682"/>
      <c r="G27" s="683"/>
      <c r="I27" s="177"/>
      <c r="J27" s="177"/>
    </row>
    <row r="28" spans="1:10" ht="15.75">
      <c r="A28" s="321" t="s">
        <v>84</v>
      </c>
      <c r="B28" s="298" t="s">
        <v>38</v>
      </c>
      <c r="C28" s="327">
        <f>B8</f>
        <v>100</v>
      </c>
      <c r="D28" s="404">
        <f>E16</f>
        <v>0</v>
      </c>
      <c r="E28" s="328">
        <f>IF(D28="","",D28*C28/100)</f>
        <v>0</v>
      </c>
      <c r="F28" s="682"/>
      <c r="G28" s="683"/>
      <c r="I28" s="177"/>
      <c r="J28" s="177"/>
    </row>
    <row r="29" spans="1:10" ht="15.75">
      <c r="A29" s="306"/>
      <c r="B29" s="302" t="s">
        <v>4</v>
      </c>
      <c r="C29" s="329">
        <f>B8</f>
        <v>100</v>
      </c>
      <c r="D29" s="405">
        <f>E18</f>
        <v>0</v>
      </c>
      <c r="E29" s="324">
        <f>IF(D29="","",D29*C29/100)</f>
        <v>0</v>
      </c>
      <c r="F29" s="684"/>
      <c r="G29" s="685"/>
      <c r="I29" s="177"/>
      <c r="J29" s="177"/>
    </row>
    <row r="30" spans="1:10" ht="15.75">
      <c r="A30" s="330"/>
      <c r="B30" s="317"/>
      <c r="C30" s="336" t="s">
        <v>39</v>
      </c>
      <c r="D30" s="337"/>
      <c r="E30" s="335" t="str">
        <f>IF(AND(ISNUMBER(E26),ISNUMBER(E27),ISNUMBER(E28),ISNUMBER(E29)),SUM(E26:E29),"not applicable")</f>
        <v>not applicable</v>
      </c>
      <c r="F30" s="678" t="str">
        <f>IF(ISNUMBER(E30),E30*100/'Data entry screen'!B12,"not applicable")</f>
        <v>not applicable</v>
      </c>
      <c r="G30" s="679"/>
      <c r="I30" s="178"/>
      <c r="J30" s="179"/>
    </row>
    <row r="31" spans="1:7" ht="15.75">
      <c r="A31" s="298"/>
      <c r="B31" s="298"/>
      <c r="C31" s="331"/>
      <c r="D31" s="332"/>
      <c r="E31" s="332"/>
      <c r="F31" s="332"/>
      <c r="G31" s="332"/>
    </row>
    <row r="32" spans="1:8" ht="15.75">
      <c r="A32" s="694"/>
      <c r="B32" s="694"/>
      <c r="C32" s="694"/>
      <c r="D32" s="694"/>
      <c r="E32" s="694"/>
      <c r="F32" s="694"/>
      <c r="G32" s="694"/>
      <c r="H32" s="694"/>
    </row>
    <row r="33" spans="1:7" ht="15.75">
      <c r="A33" s="298"/>
      <c r="B33" s="298"/>
      <c r="C33" s="331"/>
      <c r="D33" s="333"/>
      <c r="E33" s="333"/>
      <c r="F33" s="333"/>
      <c r="G33" s="333"/>
    </row>
    <row r="34" spans="1:7" ht="15.75">
      <c r="A34" s="298"/>
      <c r="B34" s="298"/>
      <c r="C34" s="331"/>
      <c r="D34" s="334"/>
      <c r="E34" s="334"/>
      <c r="F34" s="334"/>
      <c r="G34" s="333"/>
    </row>
    <row r="35" spans="1:7" ht="15.75">
      <c r="A35" s="298"/>
      <c r="B35" s="298"/>
      <c r="C35" s="331"/>
      <c r="D35" s="334"/>
      <c r="E35" s="334"/>
      <c r="F35" s="334"/>
      <c r="G35" s="333"/>
    </row>
    <row r="36" spans="4:6" ht="15.75">
      <c r="D36" s="334"/>
      <c r="E36" s="334"/>
      <c r="F36" s="334"/>
    </row>
    <row r="37" spans="4:7" ht="15.75">
      <c r="D37" s="334"/>
      <c r="E37" s="334"/>
      <c r="F37" s="334"/>
      <c r="G37" s="333"/>
    </row>
    <row r="38" spans="4:7" ht="15.75">
      <c r="D38" s="333"/>
      <c r="E38" s="333"/>
      <c r="F38" s="333"/>
      <c r="G38" s="333"/>
    </row>
    <row r="39" spans="4:7" ht="15.75">
      <c r="D39" s="334"/>
      <c r="E39" s="334"/>
      <c r="F39" s="334"/>
      <c r="G39" s="333"/>
    </row>
    <row r="40" spans="4:7" ht="15.75">
      <c r="D40" s="334"/>
      <c r="E40" s="334"/>
      <c r="F40" s="334"/>
      <c r="G40" s="333"/>
    </row>
  </sheetData>
  <sheetProtection sheet="1" objects="1" scenarios="1"/>
  <mergeCells count="26">
    <mergeCell ref="A12:B12"/>
    <mergeCell ref="A13:A14"/>
    <mergeCell ref="B13:C13"/>
    <mergeCell ref="D13:D14"/>
    <mergeCell ref="B17:C17"/>
    <mergeCell ref="E17:F17"/>
    <mergeCell ref="E13:F13"/>
    <mergeCell ref="J13:L13"/>
    <mergeCell ref="B14:C14"/>
    <mergeCell ref="E14:F14"/>
    <mergeCell ref="B16:C16"/>
    <mergeCell ref="E16:F16"/>
    <mergeCell ref="B20:C20"/>
    <mergeCell ref="E20:F20"/>
    <mergeCell ref="B21:C21"/>
    <mergeCell ref="E21:F21"/>
    <mergeCell ref="B18:C18"/>
    <mergeCell ref="E18:F18"/>
    <mergeCell ref="B19:C19"/>
    <mergeCell ref="E19:F19"/>
    <mergeCell ref="F30:G30"/>
    <mergeCell ref="A32:H32"/>
    <mergeCell ref="A23:B23"/>
    <mergeCell ref="D23:E23"/>
    <mergeCell ref="F24:G24"/>
    <mergeCell ref="F25:G29"/>
  </mergeCells>
  <printOptions/>
  <pageMargins left="0.75" right="0.75" top="1" bottom="1"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Tabelle3"/>
  <dimension ref="A1:K93"/>
  <sheetViews>
    <sheetView zoomScalePageLayoutView="0" workbookViewId="0" topLeftCell="A1">
      <pane xSplit="2" ySplit="11" topLeftCell="C30" activePane="bottomRight" state="frozen"/>
      <selection pane="topLeft" activeCell="A1" sqref="A1"/>
      <selection pane="topRight" activeCell="C1" sqref="C1"/>
      <selection pane="bottomLeft" activeCell="A12" sqref="A12"/>
      <selection pane="bottomRight" activeCell="D36" sqref="D36"/>
    </sheetView>
  </sheetViews>
  <sheetFormatPr defaultColWidth="11.421875" defaultRowHeight="12.75"/>
  <cols>
    <col min="1" max="1" width="11.421875" style="44" customWidth="1"/>
    <col min="2" max="2" width="10.7109375" style="44" bestFit="1" customWidth="1"/>
    <col min="3" max="3" width="34.140625" style="44" bestFit="1" customWidth="1"/>
    <col min="4" max="5" width="11.00390625" style="44" bestFit="1" customWidth="1"/>
    <col min="6" max="6" width="10.8515625" style="44" bestFit="1" customWidth="1"/>
    <col min="7" max="7" width="10.421875" style="44" bestFit="1" customWidth="1"/>
    <col min="8" max="8" width="14.28125" style="44" customWidth="1"/>
    <col min="9" max="9" width="15.57421875" style="44" bestFit="1" customWidth="1"/>
    <col min="10" max="10" width="5.421875" style="44" bestFit="1" customWidth="1"/>
    <col min="11" max="11" width="14.140625" style="44" customWidth="1"/>
    <col min="12" max="16384" width="11.421875" style="44" customWidth="1"/>
  </cols>
  <sheetData>
    <row r="1" spans="2:10" ht="38.25">
      <c r="B1" s="45" t="s">
        <v>13</v>
      </c>
      <c r="C1" s="46" t="s">
        <v>375</v>
      </c>
      <c r="D1" s="46" t="s">
        <v>14</v>
      </c>
      <c r="E1" s="46" t="s">
        <v>15</v>
      </c>
      <c r="F1" s="46" t="s">
        <v>16</v>
      </c>
      <c r="G1" s="46" t="s">
        <v>17</v>
      </c>
      <c r="H1" s="46" t="s">
        <v>18</v>
      </c>
      <c r="I1" s="46" t="s">
        <v>19</v>
      </c>
      <c r="J1" s="116"/>
    </row>
    <row r="2" spans="1:10" ht="12.75">
      <c r="A2" s="47" t="s">
        <v>94</v>
      </c>
      <c r="B2" s="48">
        <f>MATCH('Data entry screen'!B4,Formulation,0)</f>
        <v>1</v>
      </c>
      <c r="C2" s="48">
        <f>MATCH('Data entry screen'!B14,Application_method,0)</f>
        <v>1</v>
      </c>
      <c r="D2" s="48">
        <f>MATCH('Data entry screen'!B20,PPE_ML_Resp,0)</f>
        <v>1</v>
      </c>
      <c r="E2" s="48">
        <f>MATCH('Data entry screen'!B21,PPE_ML_hands,0)</f>
        <v>1</v>
      </c>
      <c r="F2" s="48">
        <f>MATCH('Data entry screen'!D19,PPE_Appl_Resp,0)</f>
        <v>1</v>
      </c>
      <c r="G2" s="48">
        <f>MATCH('Data entry screen'!D20,PPE_Appl_Hands,0)</f>
        <v>1</v>
      </c>
      <c r="H2" s="48">
        <f>MATCH('Data entry screen'!D21,PPE_Appl_Head,0)</f>
        <v>1</v>
      </c>
      <c r="I2" s="48">
        <f>MATCH('Data entry screen'!D23,PPE_Appl_Body,0)</f>
        <v>1</v>
      </c>
      <c r="J2" s="117"/>
    </row>
    <row r="3" spans="1:10" ht="12.75">
      <c r="A3" s="47" t="s">
        <v>95</v>
      </c>
      <c r="B3" s="48">
        <f>MATCH('Data entry screen'!B4,Formulation,0)</f>
        <v>1</v>
      </c>
      <c r="C3" s="48">
        <f>MATCH('Data entry screen'!B25,Application_method,0)</f>
        <v>1</v>
      </c>
      <c r="D3" s="48">
        <f>MATCH('Data entry screen'!B31,PPE_ML_Resp,0)</f>
        <v>1</v>
      </c>
      <c r="E3" s="48">
        <f>MATCH('Data entry screen'!B32,PPE_ML_hands,0)</f>
        <v>1</v>
      </c>
      <c r="F3" s="48">
        <f>MATCH('Data entry screen'!D30,PPE_Appl_Resp,0)</f>
        <v>1</v>
      </c>
      <c r="G3" s="48">
        <f>MATCH('Data entry screen'!D31,PPE_Appl_Hands,0)</f>
        <v>1</v>
      </c>
      <c r="H3" s="48">
        <f>MATCH('Data entry screen'!D32,PPE_Appl_Head,0)</f>
        <v>1</v>
      </c>
      <c r="I3" s="48">
        <f>MATCH('Data entry screen'!D34,PPE_Appl_Body,0)</f>
        <v>1</v>
      </c>
      <c r="J3" s="117"/>
    </row>
    <row r="4" spans="1:10" ht="12.75">
      <c r="A4" s="47" t="s">
        <v>96</v>
      </c>
      <c r="B4" s="48">
        <f>MATCH('Data entry screen'!B4,Formulation,0)</f>
        <v>1</v>
      </c>
      <c r="C4" s="48">
        <f>MATCH('Data entry screen'!B36,Application_method,0)</f>
        <v>1</v>
      </c>
      <c r="D4" s="48">
        <f>MATCH('Data entry screen'!B42,PPE_ML_Resp,0)</f>
        <v>1</v>
      </c>
      <c r="E4" s="48">
        <f>MATCH('Data entry screen'!B43,PPE_ML_hands,0)</f>
        <v>1</v>
      </c>
      <c r="F4" s="48">
        <f>MATCH('Data entry screen'!D41,PPE_Appl_Resp,0)</f>
        <v>1</v>
      </c>
      <c r="G4" s="48">
        <f>MATCH('Data entry screen'!D42,PPE_Appl_Hands,0)</f>
        <v>1</v>
      </c>
      <c r="H4" s="48">
        <f>MATCH('Data entry screen'!D43,PPE_Appl_Head,0)</f>
        <v>1</v>
      </c>
      <c r="I4" s="48">
        <f>MATCH('Data entry screen'!D45,PPE_Appl_Body,0)</f>
        <v>1</v>
      </c>
      <c r="J4" s="117"/>
    </row>
    <row r="5" spans="1:10" ht="12.75">
      <c r="A5" s="47" t="s">
        <v>97</v>
      </c>
      <c r="B5" s="48">
        <f>MATCH('Data entry screen'!B4,Formulation,0)</f>
        <v>1</v>
      </c>
      <c r="C5" s="48">
        <f>MATCH('Data entry screen'!B47,Application_method,0)</f>
        <v>1</v>
      </c>
      <c r="D5" s="48">
        <f>MATCH('Data entry screen'!B53,PPE_ML_Resp,0)</f>
        <v>1</v>
      </c>
      <c r="E5" s="48">
        <f>MATCH('Data entry screen'!B54,PPE_ML_hands,0)</f>
        <v>1</v>
      </c>
      <c r="F5" s="48">
        <f>MATCH('Data entry screen'!D52,PPE_Appl_Resp,0)</f>
        <v>1</v>
      </c>
      <c r="G5" s="48">
        <f>MATCH('Data entry screen'!D53,PPE_Appl_Hands,0)</f>
        <v>1</v>
      </c>
      <c r="H5" s="48">
        <f>MATCH('Data entry screen'!D54,PPE_Appl_Head,0)</f>
        <v>1</v>
      </c>
      <c r="I5" s="48">
        <f>MATCH('Data entry screen'!D56,PPE_Appl_Body,0)</f>
        <v>1</v>
      </c>
      <c r="J5" s="117"/>
    </row>
    <row r="6" spans="2:11" ht="25.5" customHeight="1">
      <c r="B6" s="45" t="s">
        <v>48</v>
      </c>
      <c r="C6" s="78" t="s">
        <v>98</v>
      </c>
      <c r="D6" s="78" t="s">
        <v>3</v>
      </c>
      <c r="E6" s="45" t="s">
        <v>3</v>
      </c>
      <c r="F6" s="78" t="s">
        <v>3</v>
      </c>
      <c r="G6" s="45" t="s">
        <v>3</v>
      </c>
      <c r="H6" s="78" t="s">
        <v>3</v>
      </c>
      <c r="I6" s="78" t="s">
        <v>106</v>
      </c>
      <c r="J6" s="118"/>
      <c r="K6" s="78"/>
    </row>
    <row r="7" spans="2:11" ht="25.5" customHeight="1">
      <c r="B7" s="45" t="s">
        <v>49</v>
      </c>
      <c r="C7" s="78" t="s">
        <v>99</v>
      </c>
      <c r="D7" s="78" t="s">
        <v>103</v>
      </c>
      <c r="E7" s="45" t="s">
        <v>20</v>
      </c>
      <c r="F7" s="78" t="s">
        <v>103</v>
      </c>
      <c r="G7" s="45" t="s">
        <v>20</v>
      </c>
      <c r="H7" s="78" t="s">
        <v>104</v>
      </c>
      <c r="I7" s="78" t="s">
        <v>100</v>
      </c>
      <c r="J7" s="118"/>
      <c r="K7" s="78"/>
    </row>
    <row r="8" spans="2:10" ht="25.5" customHeight="1">
      <c r="B8" s="45" t="s">
        <v>47</v>
      </c>
      <c r="C8" s="78" t="s">
        <v>101</v>
      </c>
      <c r="D8" s="78" t="s">
        <v>363</v>
      </c>
      <c r="E8" s="45"/>
      <c r="F8" s="78" t="s">
        <v>363</v>
      </c>
      <c r="G8" s="45"/>
      <c r="H8" s="78" t="s">
        <v>105</v>
      </c>
      <c r="I8" s="45" t="s">
        <v>381</v>
      </c>
      <c r="J8" s="118"/>
    </row>
    <row r="9" spans="2:10" ht="25.5" customHeight="1">
      <c r="B9" s="45"/>
      <c r="C9" s="78" t="s">
        <v>102</v>
      </c>
      <c r="D9" s="45"/>
      <c r="E9" s="45"/>
      <c r="F9" s="45"/>
      <c r="G9" s="45"/>
      <c r="I9" s="45"/>
      <c r="J9" s="45"/>
    </row>
    <row r="10" spans="2:10" ht="25.5" customHeight="1">
      <c r="B10" s="45"/>
      <c r="C10" s="45"/>
      <c r="D10" s="45"/>
      <c r="E10" s="45"/>
      <c r="F10" s="45"/>
      <c r="G10" s="45"/>
      <c r="J10" s="45"/>
    </row>
    <row r="11" ht="12.75">
      <c r="H11" s="45"/>
    </row>
    <row r="12" spans="3:8" ht="25.5">
      <c r="C12" s="49" t="s">
        <v>359</v>
      </c>
      <c r="D12" s="49" t="s">
        <v>50</v>
      </c>
      <c r="F12" s="49"/>
      <c r="G12" s="49"/>
      <c r="H12" s="45"/>
    </row>
    <row r="13" spans="3:9" ht="15.75">
      <c r="C13" s="49"/>
      <c r="D13" s="49"/>
      <c r="F13" s="49"/>
      <c r="G13" s="49"/>
      <c r="I13" s="50"/>
    </row>
    <row r="14" spans="3:7" ht="20.25" customHeight="1">
      <c r="C14" s="706" t="s">
        <v>59</v>
      </c>
      <c r="D14" s="706"/>
      <c r="F14" s="706"/>
      <c r="G14" s="706"/>
    </row>
    <row r="15" spans="3:7" ht="12.75">
      <c r="C15" s="202">
        <f>IF('Data entry screen'!$B$4="WG",Notes!$C$4,IF('Data entry screen'!$B$4="WP",Notes!$C$5,Notes!$C$6))</f>
        <v>0.013343799427581531</v>
      </c>
      <c r="D15" s="51">
        <f>INDEX(Notes!C17:C19,D$2,)</f>
        <v>1</v>
      </c>
      <c r="F15" s="202"/>
      <c r="G15" s="51"/>
    </row>
    <row r="16" spans="8:9" ht="15.75">
      <c r="H16" s="50"/>
      <c r="I16" s="50"/>
    </row>
    <row r="17" spans="3:8" ht="20.25" customHeight="1">
      <c r="C17" s="706" t="s">
        <v>304</v>
      </c>
      <c r="D17" s="706"/>
      <c r="F17" s="706"/>
      <c r="G17" s="706"/>
      <c r="H17" s="52"/>
    </row>
    <row r="18" spans="1:7" ht="12.75">
      <c r="A18" s="44" t="s">
        <v>305</v>
      </c>
      <c r="B18" s="97">
        <f>IF('Data entry screen'!$B$4="WG",Notes!$J$4,IF('Data entry screen'!$B$4="WP",Notes!$J$5,Notes!$J$6))</f>
        <v>2.2951175335732805</v>
      </c>
      <c r="C18" s="97">
        <f>IF('Data entry screen'!$B$4="WG",Notes!$E$4,IF('Data entry screen'!$B$4="WP",Notes!$E$5,Notes!$E$6))</f>
        <v>2.2951175335732805</v>
      </c>
      <c r="D18" s="51">
        <f>INDEX(Notes!C22:C23,E$2,)</f>
        <v>1</v>
      </c>
      <c r="F18" s="97"/>
      <c r="G18" s="51"/>
    </row>
    <row r="19" spans="8:9" ht="15.75">
      <c r="H19" s="50"/>
      <c r="I19" s="50"/>
    </row>
    <row r="20" spans="3:9" ht="20.25" customHeight="1">
      <c r="C20" s="706" t="s">
        <v>60</v>
      </c>
      <c r="D20" s="706"/>
      <c r="F20" s="706"/>
      <c r="G20" s="706"/>
      <c r="H20" s="52"/>
      <c r="I20" s="54"/>
    </row>
    <row r="21" spans="1:7" ht="12.75">
      <c r="A21" s="44" t="s">
        <v>305</v>
      </c>
      <c r="B21" s="44">
        <f>IF(C2=1,Notes!$K$10,IF(C2=2,Notes!$K$11,IF(C2=3,Notes!$K$12,Notes!$K$13)))</f>
        <v>0.6769548608495896</v>
      </c>
      <c r="C21" s="98">
        <f>INDEX(Notes!$C$10:$C$13,IF(Calculations!$C$2=3,3,IF(Calculations!$C$2=4,4,Calculations!$C$2)))</f>
        <v>0.6769548608495896</v>
      </c>
      <c r="D21" s="51">
        <f>INDEX(Notes!C26:C28,F$2,)</f>
        <v>1</v>
      </c>
      <c r="F21" s="199"/>
      <c r="G21" s="199"/>
    </row>
    <row r="22" spans="8:9" ht="15.75">
      <c r="H22" s="50"/>
      <c r="I22" s="50"/>
    </row>
    <row r="23" spans="3:9" ht="20.25" customHeight="1">
      <c r="C23" s="706" t="s">
        <v>301</v>
      </c>
      <c r="D23" s="706"/>
      <c r="F23" s="706"/>
      <c r="G23" s="706"/>
      <c r="H23" s="53"/>
      <c r="I23" s="54"/>
    </row>
    <row r="24" spans="1:9" ht="12.75">
      <c r="A24" s="44" t="s">
        <v>305</v>
      </c>
      <c r="B24" s="44">
        <f>IF(C2=1,Notes!$L$10,IF(C2=2,Notes!$L$11,IF(C2=3,Notes!$L$12,Notes!$L$13)))</f>
        <v>0.806060606060606</v>
      </c>
      <c r="C24" s="98">
        <f>INDEX(Notes!$D$10:$D$13,IF(Calculations!$C$2=3,3,IF(Calculations!$C$2=4,4,Calculations!$C$2)))</f>
        <v>0.806060606060606</v>
      </c>
      <c r="D24" s="119">
        <f>INDEX(Notes!C35:C37,H$2,)*INDEX(Notes!D26:D28,F$2,)</f>
        <v>1</v>
      </c>
      <c r="E24" s="52"/>
      <c r="F24" s="199"/>
      <c r="G24" s="199"/>
      <c r="I24" s="47"/>
    </row>
    <row r="25" spans="8:9" ht="15.75">
      <c r="H25" s="50"/>
      <c r="I25" s="50"/>
    </row>
    <row r="26" spans="3:9" ht="20.25" customHeight="1">
      <c r="C26" s="706" t="s">
        <v>302</v>
      </c>
      <c r="D26" s="706"/>
      <c r="F26" s="706"/>
      <c r="G26" s="706"/>
      <c r="H26" s="53"/>
      <c r="I26" s="54"/>
    </row>
    <row r="27" spans="1:9" ht="12.75">
      <c r="A27" s="44" t="s">
        <v>305</v>
      </c>
      <c r="B27" s="44">
        <f>IF(C2=1,Notes!$M$10,IF(C2=2,"not applicable",IF(C2=3,Notes!$M$12,Notes!$M$13)))</f>
        <v>25.19038613053613</v>
      </c>
      <c r="C27" s="199">
        <f>INDEX(Notes!$E$10:$E$13,IF(Calculations!$C$2=3,3,IF(Calculations!$C$2=4,4,Calculations!$C$2)))</f>
        <v>25.19038613053613</v>
      </c>
      <c r="D27" s="51">
        <f>INDEX(Notes!C31:C32,G$2,)</f>
        <v>1</v>
      </c>
      <c r="F27" s="199"/>
      <c r="G27" s="199"/>
      <c r="I27" s="47"/>
    </row>
    <row r="28" spans="8:9" ht="15.75">
      <c r="H28" s="50"/>
      <c r="I28" s="50"/>
    </row>
    <row r="29" spans="3:9" ht="42" customHeight="1">
      <c r="C29" s="706" t="s">
        <v>303</v>
      </c>
      <c r="D29" s="706"/>
      <c r="F29" s="706" t="s">
        <v>397</v>
      </c>
      <c r="G29" s="706"/>
      <c r="H29" s="53"/>
      <c r="I29" s="54"/>
    </row>
    <row r="30" spans="1:9" ht="12.75">
      <c r="A30" s="44" t="s">
        <v>305</v>
      </c>
      <c r="B30" s="44">
        <f>IF(C2=1,Notes!$N$10,IF(C2=2,"not applicable",IF(C2=3,Notes!$N$12,Notes!$N$13)))</f>
        <v>17.08412631842649</v>
      </c>
      <c r="C30" s="99">
        <f>INDEX(Notes!$I$10:$I$13,IF(Calculations!$C$2=3,3,IF(Calculations!$C$2=4,4,Calculations!$C$2)))</f>
        <v>465.0184267980886</v>
      </c>
      <c r="D30" s="51">
        <f>INDEX(Notes!C40:C41,I$2,)</f>
        <v>1</v>
      </c>
      <c r="E30" s="44" t="s">
        <v>305</v>
      </c>
      <c r="F30" s="97">
        <f>IF(C2=1,Notes!$O$10,IF(C2=3,Notes!$O$12,"not applicable"))</f>
        <v>342.3182604218067</v>
      </c>
      <c r="G30" s="97"/>
      <c r="I30" s="54"/>
    </row>
    <row r="31" spans="3:8" ht="15.75">
      <c r="C31" s="51"/>
      <c r="D31" s="51"/>
      <c r="F31" s="51"/>
      <c r="G31" s="51"/>
      <c r="H31" s="50"/>
    </row>
    <row r="32" ht="12.75">
      <c r="H32" s="53"/>
    </row>
    <row r="33" spans="3:8" ht="25.5">
      <c r="C33" s="49" t="s">
        <v>360</v>
      </c>
      <c r="D33" s="49" t="s">
        <v>50</v>
      </c>
      <c r="F33" s="49"/>
      <c r="G33" s="49"/>
      <c r="H33" s="53"/>
    </row>
    <row r="34" spans="3:7" ht="12.75">
      <c r="C34" s="49"/>
      <c r="D34" s="49"/>
      <c r="F34" s="49"/>
      <c r="G34" s="49"/>
    </row>
    <row r="35" spans="3:7" ht="15.75">
      <c r="C35" s="706" t="s">
        <v>59</v>
      </c>
      <c r="D35" s="706"/>
      <c r="F35" s="706"/>
      <c r="G35" s="706"/>
    </row>
    <row r="36" spans="3:7" ht="12.75">
      <c r="C36" s="97">
        <f>IF('Data entry screen'!$B$4="WG",Notes!$C$4,IF('Data entry screen'!$B$4="WP",Notes!$C$5,Notes!$C$6))</f>
        <v>0.013343799427581531</v>
      </c>
      <c r="D36" s="51">
        <f>INDEX(Notes!C17:C19,D$3,)</f>
        <v>1</v>
      </c>
      <c r="F36" s="97"/>
      <c r="G36" s="51"/>
    </row>
    <row r="38" spans="3:7" ht="15.75">
      <c r="C38" s="706" t="s">
        <v>304</v>
      </c>
      <c r="D38" s="706"/>
      <c r="F38" s="706"/>
      <c r="G38" s="706"/>
    </row>
    <row r="39" spans="1:7" ht="12.75">
      <c r="A39" s="44" t="s">
        <v>305</v>
      </c>
      <c r="B39" s="97">
        <f>IF('Data entry screen'!$B$4="WG",Notes!$J$4,IF('Data entry screen'!$B$4="WP",Notes!$J$5,Notes!$J$6))</f>
        <v>2.2951175335732805</v>
      </c>
      <c r="C39" s="97">
        <f>IF('Data entry screen'!$B$4="WG",Notes!$F$4,IF('Data entry screen'!$B$4="WP",Notes!$F$5,Notes!$F$6))</f>
        <v>2.2951175335732805</v>
      </c>
      <c r="D39" s="51">
        <f>INDEX(Notes!C22:C23,E$3,)</f>
        <v>1</v>
      </c>
      <c r="F39" s="97"/>
      <c r="G39" s="51"/>
    </row>
    <row r="41" spans="3:7" ht="15.75">
      <c r="C41" s="706" t="s">
        <v>60</v>
      </c>
      <c r="D41" s="706"/>
      <c r="F41" s="706"/>
      <c r="G41" s="706"/>
    </row>
    <row r="42" spans="1:7" ht="12.75">
      <c r="A42" s="44" t="s">
        <v>305</v>
      </c>
      <c r="B42" s="44">
        <f>IF(C3=1,Notes!$K$10,IF(C3=2,Notes!$K$11,IF(C3=3,Notes!$K$12,Notes!$K$13)))</f>
        <v>0.6769548608495896</v>
      </c>
      <c r="C42" s="98">
        <f>INDEX(Notes!$C$10:$C$13,IF(Calculations!$C$3=3,3,IF(Calculations!$C$3=4,4,Calculations!$C$3)))</f>
        <v>0.6769548608495896</v>
      </c>
      <c r="D42" s="51">
        <f>INDEX(Notes!C26:C28,F$3,)</f>
        <v>1</v>
      </c>
      <c r="F42" s="98"/>
      <c r="G42" s="51"/>
    </row>
    <row r="44" spans="3:7" ht="15.75">
      <c r="C44" s="706" t="s">
        <v>301</v>
      </c>
      <c r="D44" s="706"/>
      <c r="F44" s="706"/>
      <c r="G44" s="706"/>
    </row>
    <row r="45" spans="1:7" ht="12.75">
      <c r="A45" s="44" t="s">
        <v>305</v>
      </c>
      <c r="B45" s="44">
        <f>IF(C3=1,Notes!$L$10,IF(C3=2,Notes!$L$11,IF(C3=3,Notes!$L$12,Notes!$L$13)))</f>
        <v>0.806060606060606</v>
      </c>
      <c r="C45" s="98">
        <f>INDEX(Notes!$D$10:$D$13,IF(Calculations!$C$3=3,3,IF(Calculations!$C$3=4,4,Calculations!$C$3)))</f>
        <v>0.806060606060606</v>
      </c>
      <c r="D45" s="51">
        <f>INDEX(Notes!C35:C37,H$3,)*INDEX(Notes!D26:D28,F$3,)</f>
        <v>1</v>
      </c>
      <c r="F45" s="98"/>
      <c r="G45" s="51"/>
    </row>
    <row r="47" spans="3:7" ht="15.75">
      <c r="C47" s="706" t="s">
        <v>302</v>
      </c>
      <c r="D47" s="706"/>
      <c r="F47" s="706"/>
      <c r="G47" s="706"/>
    </row>
    <row r="48" spans="1:7" ht="12.75">
      <c r="A48" s="44" t="s">
        <v>305</v>
      </c>
      <c r="B48" s="44">
        <f>IF(C3=1,Notes!$M$10,IF(C3=2,"not applicable",IF(C3=3,Notes!$M$12,Notes!$M$13)))</f>
        <v>25.19038613053613</v>
      </c>
      <c r="C48" s="97">
        <f>INDEX(Notes!$F$10:$F$13,IF(Calculations!$C$3=3,3,IF(Calculations!$C$3=4,4,Calculations!$C$3)))</f>
        <v>25.19038613053613</v>
      </c>
      <c r="D48" s="51">
        <f>INDEX(Notes!C31:C32,G$3,)</f>
        <v>1</v>
      </c>
      <c r="F48" s="97"/>
      <c r="G48" s="51"/>
    </row>
    <row r="50" spans="3:7" ht="37.5" customHeight="1">
      <c r="C50" s="706" t="s">
        <v>303</v>
      </c>
      <c r="D50" s="706"/>
      <c r="F50" s="706" t="s">
        <v>397</v>
      </c>
      <c r="G50" s="706"/>
    </row>
    <row r="51" spans="1:7" ht="12.75">
      <c r="A51" s="44" t="s">
        <v>305</v>
      </c>
      <c r="B51" s="44">
        <f>IF(C3=1,Notes!$N$10,IF(C3=2,"not applicable",IF(C3=3,Notes!$N$12,Notes!$N$13)))</f>
        <v>17.08412631842649</v>
      </c>
      <c r="C51" s="99">
        <f>INDEX(Notes!$I$10:$I$13,IF(Calculations!$C$3=3,3,IF(Calculations!$C$3=4,4,Calculations!$C$3)))</f>
        <v>465.0184267980886</v>
      </c>
      <c r="D51" s="51">
        <f>INDEX(Notes!C40:C41,I$3,)</f>
        <v>1</v>
      </c>
      <c r="E51" s="44" t="s">
        <v>305</v>
      </c>
      <c r="F51" s="97">
        <f>IF(C3=1,Notes!$O$10,IF(C3=3,Notes!$O$12,"not applicable"))</f>
        <v>342.3182604218067</v>
      </c>
      <c r="G51" s="97"/>
    </row>
    <row r="54" spans="3:7" ht="25.5">
      <c r="C54" s="49" t="s">
        <v>361</v>
      </c>
      <c r="D54" s="49" t="s">
        <v>50</v>
      </c>
      <c r="F54" s="49"/>
      <c r="G54" s="49"/>
    </row>
    <row r="55" spans="3:7" ht="12.75">
      <c r="C55" s="49"/>
      <c r="D55" s="49"/>
      <c r="F55" s="49"/>
      <c r="G55" s="49"/>
    </row>
    <row r="56" spans="3:7" ht="15.75">
      <c r="C56" s="706" t="s">
        <v>59</v>
      </c>
      <c r="D56" s="706"/>
      <c r="F56" s="706"/>
      <c r="G56" s="706"/>
    </row>
    <row r="57" spans="3:7" ht="12.75">
      <c r="C57" s="202">
        <f>IF('Data entry screen'!$B$4="WG",Notes!$C$4,IF('Data entry screen'!$B$4="WP",Notes!$C$5,Notes!$C$6))</f>
        <v>0.013343799427581531</v>
      </c>
      <c r="D57" s="51">
        <f>INDEX(Notes!C17:C19,D$4,)</f>
        <v>1</v>
      </c>
      <c r="F57" s="97"/>
      <c r="G57" s="51"/>
    </row>
    <row r="59" spans="3:7" ht="15.75">
      <c r="C59" s="706" t="s">
        <v>304</v>
      </c>
      <c r="D59" s="706"/>
      <c r="F59" s="706"/>
      <c r="G59" s="706"/>
    </row>
    <row r="60" spans="1:7" ht="12.75">
      <c r="A60" s="44" t="s">
        <v>305</v>
      </c>
      <c r="B60" s="97">
        <f>IF('Data entry screen'!$B$4="WG",Notes!$J$4,IF('Data entry screen'!$B$4="WP",Notes!$J$5,Notes!$J$6))</f>
        <v>2.2951175335732805</v>
      </c>
      <c r="C60" s="97">
        <f>IF('Data entry screen'!$B$4="WG",Notes!$G$4,IF('Data entry screen'!$B$4="WP",Notes!$G$5,Notes!$G$6))</f>
        <v>2.2951175335732805</v>
      </c>
      <c r="D60" s="51">
        <f>INDEX(Notes!C22:C23,E$4,)</f>
        <v>1</v>
      </c>
      <c r="F60" s="97"/>
      <c r="G60" s="51"/>
    </row>
    <row r="62" spans="3:7" ht="15.75">
      <c r="C62" s="706" t="s">
        <v>60</v>
      </c>
      <c r="D62" s="706"/>
      <c r="F62" s="706"/>
      <c r="G62" s="706"/>
    </row>
    <row r="63" spans="1:7" ht="12.75">
      <c r="A63" s="44" t="s">
        <v>305</v>
      </c>
      <c r="B63" s="44">
        <f>IF(C4=1,Notes!$K$10,IF(C4=2,Notes!$K$11,IF(C4=3,Notes!$K$12,Notes!$K$13)))</f>
        <v>0.6769548608495896</v>
      </c>
      <c r="C63" s="98">
        <f>INDEX(Notes!$C$10:$C$13,IF(Calculations!$C$4=3,3,IF(Calculations!$C$4=4,4,Calculations!$C$4)))</f>
        <v>0.6769548608495896</v>
      </c>
      <c r="D63" s="51">
        <f>INDEX(Notes!C26:C28,F$4,)</f>
        <v>1</v>
      </c>
      <c r="F63" s="98"/>
      <c r="G63" s="51"/>
    </row>
    <row r="65" spans="3:7" ht="15.75">
      <c r="C65" s="706" t="s">
        <v>301</v>
      </c>
      <c r="D65" s="706"/>
      <c r="F65" s="706"/>
      <c r="G65" s="706"/>
    </row>
    <row r="66" spans="1:7" ht="12.75">
      <c r="A66" s="44" t="s">
        <v>305</v>
      </c>
      <c r="B66" s="44">
        <f>IF(C4=1,Notes!$L$10,IF(C4=2,Notes!$L$11,IF(C4=3,Notes!$L$12,Notes!$L$13)))</f>
        <v>0.806060606060606</v>
      </c>
      <c r="C66" s="98">
        <f>INDEX(Notes!$D$10:$D$13,IF(Calculations!$C$4=3,3,IF(Calculations!$C$4=4,4,Calculations!$C$4)))</f>
        <v>0.806060606060606</v>
      </c>
      <c r="D66" s="51">
        <f>INDEX(Notes!C35:C37,H$4,)*INDEX(Notes!D26:D28,F$4,)</f>
        <v>1</v>
      </c>
      <c r="F66" s="98"/>
      <c r="G66" s="51"/>
    </row>
    <row r="68" spans="3:7" ht="15.75">
      <c r="C68" s="706" t="s">
        <v>302</v>
      </c>
      <c r="D68" s="706"/>
      <c r="F68" s="706"/>
      <c r="G68" s="706"/>
    </row>
    <row r="69" spans="1:7" ht="12.75">
      <c r="A69" s="44" t="s">
        <v>305</v>
      </c>
      <c r="B69" s="44">
        <f>IF(C4=1,Notes!$M$10,IF(C4=2,"not applicable",IF(C4=3,Notes!$M$12,Notes!$M$13)))</f>
        <v>25.19038613053613</v>
      </c>
      <c r="C69" s="97">
        <f>INDEX(Notes!$G$10:$G$13,IF(Calculations!$C$4=3,3,IF(Calculations!$C$4=4,4,Calculations!$C$4)))</f>
        <v>25.19038613053613</v>
      </c>
      <c r="D69" s="51">
        <f>INDEX(Notes!C31:C32,G$4,)</f>
        <v>1</v>
      </c>
      <c r="F69" s="97"/>
      <c r="G69" s="51"/>
    </row>
    <row r="71" spans="3:7" ht="35.25" customHeight="1">
      <c r="C71" s="706" t="s">
        <v>303</v>
      </c>
      <c r="D71" s="706"/>
      <c r="F71" s="706" t="s">
        <v>397</v>
      </c>
      <c r="G71" s="706"/>
    </row>
    <row r="72" spans="1:7" ht="12.75">
      <c r="A72" s="44" t="s">
        <v>305</v>
      </c>
      <c r="B72" s="44">
        <f>IF(C4=1,Notes!$N$10,IF(C4=2,"not applicable",IF(C4=3,Notes!$N$12,Notes!$N$13)))</f>
        <v>17.08412631842649</v>
      </c>
      <c r="C72" s="99">
        <f>INDEX(Notes!$I$10:$I$13,IF(Calculations!$C$4=3,3,IF(Calculations!$C$4=4,4,Calculations!$C$4)))</f>
        <v>465.0184267980886</v>
      </c>
      <c r="D72" s="51">
        <f>INDEX(Notes!C40:C41,I$4,)</f>
        <v>1</v>
      </c>
      <c r="E72" s="44" t="s">
        <v>305</v>
      </c>
      <c r="F72" s="97">
        <f>IF(C4=1,Notes!$O$10,IF(C4=3,Notes!$O$12,"not applicable"))</f>
        <v>342.3182604218067</v>
      </c>
      <c r="G72" s="97"/>
    </row>
    <row r="75" spans="3:7" ht="25.5">
      <c r="C75" s="49" t="s">
        <v>362</v>
      </c>
      <c r="D75" s="49" t="s">
        <v>50</v>
      </c>
      <c r="F75" s="49"/>
      <c r="G75" s="49"/>
    </row>
    <row r="76" spans="3:7" ht="12.75">
      <c r="C76" s="49"/>
      <c r="D76" s="49"/>
      <c r="F76" s="49"/>
      <c r="G76" s="49"/>
    </row>
    <row r="77" spans="3:7" ht="15.75">
      <c r="C77" s="706" t="s">
        <v>59</v>
      </c>
      <c r="D77" s="706"/>
      <c r="F77" s="706"/>
      <c r="G77" s="706"/>
    </row>
    <row r="78" spans="3:7" ht="12.75">
      <c r="C78" s="97">
        <f>IF('Data entry screen'!$B$4="WG",Notes!$C$4,IF('Data entry screen'!$B$4="WP",Notes!$C$5,Notes!$C$6))</f>
        <v>0.013343799427581531</v>
      </c>
      <c r="D78" s="51">
        <f>INDEX(Notes!C17:C19,D$5,)</f>
        <v>1</v>
      </c>
      <c r="F78" s="97"/>
      <c r="G78" s="51"/>
    </row>
    <row r="80" spans="3:7" ht="15.75">
      <c r="C80" s="706" t="s">
        <v>304</v>
      </c>
      <c r="D80" s="706"/>
      <c r="F80" s="706"/>
      <c r="G80" s="706"/>
    </row>
    <row r="81" spans="1:7" ht="12.75">
      <c r="A81" s="44" t="s">
        <v>305</v>
      </c>
      <c r="B81" s="97">
        <f>IF('Data entry screen'!$B$4="WG",Notes!$J$4,IF('Data entry screen'!$B$4="WP",Notes!$J$5,Notes!$J$6))</f>
        <v>2.2951175335732805</v>
      </c>
      <c r="C81" s="97">
        <f>IF('Data entry screen'!$B$4="WG",Notes!$H$4,IF('Data entry screen'!$B$4="WP",Notes!$H$5,Notes!$H$6))</f>
        <v>2.2951175335732805</v>
      </c>
      <c r="D81" s="51">
        <f>INDEX(Notes!C22:C23,E$5,)</f>
        <v>1</v>
      </c>
      <c r="F81" s="97"/>
      <c r="G81" s="51"/>
    </row>
    <row r="83" spans="3:7" ht="15.75">
      <c r="C83" s="706" t="s">
        <v>60</v>
      </c>
      <c r="D83" s="706"/>
      <c r="F83" s="706"/>
      <c r="G83" s="706"/>
    </row>
    <row r="84" spans="1:7" ht="12.75">
      <c r="A84" s="44" t="s">
        <v>305</v>
      </c>
      <c r="B84" s="44">
        <f>IF(C5=1,Notes!$K$10,IF(C5=2,Notes!$K$11,IF(C5=3,Notes!$K$12,Notes!$K$13)))</f>
        <v>0.6769548608495896</v>
      </c>
      <c r="C84" s="98">
        <f>INDEX(Notes!$C$10:$C$13,IF(Calculations!$C$5=3,3,IF(Calculations!$C$5=4,4,Calculations!$C$5)))</f>
        <v>0.6769548608495896</v>
      </c>
      <c r="D84" s="51">
        <f>INDEX(Notes!C26:C28,F$5,)</f>
        <v>1</v>
      </c>
      <c r="F84" s="98"/>
      <c r="G84" s="51"/>
    </row>
    <row r="86" spans="3:7" ht="15.75">
      <c r="C86" s="706" t="s">
        <v>301</v>
      </c>
      <c r="D86" s="706"/>
      <c r="F86" s="706"/>
      <c r="G86" s="706"/>
    </row>
    <row r="87" spans="1:7" ht="12.75">
      <c r="A87" s="44" t="s">
        <v>305</v>
      </c>
      <c r="B87" s="44">
        <f>IF(C5=1,Notes!$L$10,IF(C5=2,Notes!$L$11,IF(C5=3,Notes!$L$12,Notes!$L$13)))</f>
        <v>0.806060606060606</v>
      </c>
      <c r="C87" s="98">
        <f>INDEX(Notes!$D$10:$D$13,IF(Calculations!$C$5=3,3,IF(Calculations!$C$5=4,4,Calculations!$C$5)))</f>
        <v>0.806060606060606</v>
      </c>
      <c r="D87" s="51">
        <f>INDEX(Notes!C35:C37,H$5,)*INDEX(Notes!D26:D28,F$5,)</f>
        <v>1</v>
      </c>
      <c r="F87" s="98"/>
      <c r="G87" s="51"/>
    </row>
    <row r="89" spans="3:7" ht="15.75">
      <c r="C89" s="706" t="s">
        <v>302</v>
      </c>
      <c r="D89" s="706"/>
      <c r="F89" s="706"/>
      <c r="G89" s="706"/>
    </row>
    <row r="90" spans="1:7" ht="12.75">
      <c r="A90" s="44" t="s">
        <v>305</v>
      </c>
      <c r="B90" s="44">
        <f>IF(C5=1,Notes!$M$10,IF(C5=2,"not applicable",IF(C5=3,Notes!$M$12,Notes!$M$13)))</f>
        <v>25.19038613053613</v>
      </c>
      <c r="C90" s="97">
        <f>INDEX(Notes!$H$10:$H$13,IF(Calculations!$C$5=3,3,IF(Calculations!$C$5=4,4,Calculations!$C$5)))</f>
        <v>25.19038613053613</v>
      </c>
      <c r="D90" s="51">
        <f>INDEX(Notes!C31:C32,G$5,)</f>
        <v>1</v>
      </c>
      <c r="F90" s="97"/>
      <c r="G90" s="51"/>
    </row>
    <row r="92" spans="3:7" ht="35.25" customHeight="1">
      <c r="C92" s="706" t="s">
        <v>303</v>
      </c>
      <c r="D92" s="706"/>
      <c r="F92" s="706" t="s">
        <v>397</v>
      </c>
      <c r="G92" s="706"/>
    </row>
    <row r="93" spans="1:7" ht="12.75">
      <c r="A93" s="44" t="s">
        <v>305</v>
      </c>
      <c r="B93" s="44">
        <f>IF(C5=1,Notes!$N$10,IF(C5=2,"not applicable",IF(C5=3,Notes!$N$12,Notes!$N$13)))</f>
        <v>17.08412631842649</v>
      </c>
      <c r="C93" s="99">
        <f>INDEX(Notes!$I$10:$I$13,IF(Calculations!$C$5=3,3,IF(Calculations!$C$5=4,4,Calculations!$C$5)))</f>
        <v>465.0184267980886</v>
      </c>
      <c r="D93" s="51">
        <f>INDEX(Notes!C40:C41,I$5,)</f>
        <v>1</v>
      </c>
      <c r="E93" s="44" t="s">
        <v>305</v>
      </c>
      <c r="F93" s="97">
        <f>IF(C5=1,Notes!$O$10,IF(C5=3,Notes!$O$12,"not applicable"))</f>
        <v>342.3182604218067</v>
      </c>
      <c r="G93" s="97"/>
    </row>
  </sheetData>
  <sheetProtection sheet="1" formatCells="0" formatColumns="0" formatRows="0"/>
  <mergeCells count="48">
    <mergeCell ref="F23:G23"/>
    <mergeCell ref="C14:D14"/>
    <mergeCell ref="C17:D17"/>
    <mergeCell ref="C20:D20"/>
    <mergeCell ref="C23:D23"/>
    <mergeCell ref="F14:G14"/>
    <mergeCell ref="F17:G17"/>
    <mergeCell ref="F20:G20"/>
    <mergeCell ref="C35:D35"/>
    <mergeCell ref="C38:D38"/>
    <mergeCell ref="C41:D41"/>
    <mergeCell ref="C44:D44"/>
    <mergeCell ref="C26:D26"/>
    <mergeCell ref="C29:D29"/>
    <mergeCell ref="C62:D62"/>
    <mergeCell ref="C65:D65"/>
    <mergeCell ref="C68:D68"/>
    <mergeCell ref="C71:D71"/>
    <mergeCell ref="C47:D47"/>
    <mergeCell ref="C50:D50"/>
    <mergeCell ref="C56:D56"/>
    <mergeCell ref="C59:D59"/>
    <mergeCell ref="F26:G26"/>
    <mergeCell ref="F29:G29"/>
    <mergeCell ref="F35:G35"/>
    <mergeCell ref="F38:G38"/>
    <mergeCell ref="C89:D89"/>
    <mergeCell ref="C92:D92"/>
    <mergeCell ref="C77:D77"/>
    <mergeCell ref="C80:D80"/>
    <mergeCell ref="C83:D83"/>
    <mergeCell ref="C86:D86"/>
    <mergeCell ref="F56:G56"/>
    <mergeCell ref="F59:G59"/>
    <mergeCell ref="F62:G62"/>
    <mergeCell ref="F65:G65"/>
    <mergeCell ref="F41:G41"/>
    <mergeCell ref="F44:G44"/>
    <mergeCell ref="F47:G47"/>
    <mergeCell ref="F50:G50"/>
    <mergeCell ref="F83:G83"/>
    <mergeCell ref="F86:G86"/>
    <mergeCell ref="F89:G89"/>
    <mergeCell ref="F92:G92"/>
    <mergeCell ref="F68:G68"/>
    <mergeCell ref="F71:G71"/>
    <mergeCell ref="F77:G77"/>
    <mergeCell ref="F80:G80"/>
  </mergeCells>
  <printOptions/>
  <pageMargins left="0.75" right="0.75" top="1" bottom="1" header="0.4921259845" footer="0.492125984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Tabelle4">
    <pageSetUpPr fitToPage="1"/>
  </sheetPr>
  <dimension ref="A1:O41"/>
  <sheetViews>
    <sheetView zoomScalePageLayoutView="0" workbookViewId="0" topLeftCell="A1">
      <selection activeCell="D10" sqref="D10:D13"/>
    </sheetView>
  </sheetViews>
  <sheetFormatPr defaultColWidth="11.421875" defaultRowHeight="12.75"/>
  <cols>
    <col min="1" max="1" width="32.8515625" style="55" customWidth="1"/>
    <col min="2" max="2" width="8.421875" style="55" bestFit="1" customWidth="1"/>
    <col min="3" max="3" width="9.28125" style="55" bestFit="1" customWidth="1"/>
    <col min="4" max="4" width="10.57421875" style="55" bestFit="1" customWidth="1"/>
    <col min="5" max="5" width="11.7109375" style="55" bestFit="1" customWidth="1"/>
    <col min="6" max="6" width="12.00390625" style="55" customWidth="1"/>
    <col min="7" max="14" width="11.421875" style="55" customWidth="1"/>
    <col min="15" max="15" width="14.140625" style="55" customWidth="1"/>
    <col min="16" max="16384" width="11.421875" style="55" customWidth="1"/>
  </cols>
  <sheetData>
    <row r="1" spans="2:6" ht="38.25">
      <c r="B1" s="56" t="s">
        <v>337</v>
      </c>
      <c r="C1" s="707" t="s">
        <v>336</v>
      </c>
      <c r="D1" s="707"/>
      <c r="E1" s="707"/>
      <c r="F1" s="707"/>
    </row>
    <row r="2" spans="1:8" ht="20.25" customHeight="1">
      <c r="A2" s="57" t="s">
        <v>13</v>
      </c>
      <c r="B2" s="58"/>
      <c r="C2" s="706" t="s">
        <v>59</v>
      </c>
      <c r="D2" s="706"/>
      <c r="E2" s="706" t="s">
        <v>304</v>
      </c>
      <c r="F2" s="706"/>
      <c r="G2" s="706"/>
      <c r="H2" s="706"/>
    </row>
    <row r="3" spans="1:10" ht="20.25" customHeight="1">
      <c r="A3" s="59"/>
      <c r="B3" s="56"/>
      <c r="C3" s="49"/>
      <c r="D3" s="49"/>
      <c r="E3" s="49"/>
      <c r="F3" s="49"/>
      <c r="G3" s="49"/>
      <c r="H3" s="49"/>
      <c r="J3" s="135" t="s">
        <v>306</v>
      </c>
    </row>
    <row r="4" spans="1:10" ht="12.75">
      <c r="A4" s="60" t="s">
        <v>48</v>
      </c>
      <c r="B4" s="61">
        <v>1</v>
      </c>
      <c r="C4" s="95">
        <f>IF('Data entry screen'!$D$3="75th percentile",'Expo ML'!E120/1000,'Expo ML'!E121/1000)</f>
        <v>0.013343799427581531</v>
      </c>
      <c r="D4" s="61"/>
      <c r="E4" s="96">
        <f>IF(AND('Data entry screen'!$B$21="None",'Data entry screen'!$D$3="75th percentile"),'Expo ML'!$C$120/1000,IF(AND('Data entry screen'!$B$21="None",'Data entry screen'!$D$3="Geometric mean"),'Expo ML'!$C$121/1000,IF(AND('Data entry screen'!$B$21="Gloves",'Data entry screen'!$D$3="75th percentile"),'Expo ML'!$D$120/1000,'Expo ML'!$D$121/1000)))</f>
        <v>2.2951175335732805</v>
      </c>
      <c r="F4" s="96">
        <f>IF(AND('Data entry screen'!$B$32="None",'Data entry screen'!$D$3="75th percentile"),'Expo ML'!$C$120/1000,IF(AND('Data entry screen'!$B$32="None",'Data entry screen'!$D$3="Geometric mean"),'Expo ML'!$C$121/1000,IF(AND('Data entry screen'!$B$32="Gloves",'Data entry screen'!$D$3="75th percentile"),'Expo ML'!$D$120/1000,'Expo ML'!$D$121/1000)))</f>
        <v>2.2951175335732805</v>
      </c>
      <c r="G4" s="96">
        <f>IF(AND('Data entry screen'!$B$43="None",'Data entry screen'!$D$3="75th percentile"),'Expo ML'!$C$120/1000,IF(AND('Data entry screen'!$B$43="None",'Data entry screen'!$D$3="Geometric mean"),'Expo ML'!$C$121/1000,IF(AND('Data entry screen'!$B$43="Gloves",'Data entry screen'!$D$3="75th percentile"),'Expo ML'!$D$120/1000,'Expo ML'!$D$121/1000)))</f>
        <v>2.2951175335732805</v>
      </c>
      <c r="H4" s="96">
        <f>IF(AND('Data entry screen'!$B$54="None",'Data entry screen'!$D$3="75th percentile"),'Expo ML'!$C$120/1000,IF(AND('Data entry screen'!$B$54="None",'Data entry screen'!$D$3="Geometric mean"),'Expo ML'!$C$121/1000,IF(AND('Data entry screen'!$B$54="Gloves",'Data entry screen'!$D$3="75th percentile"),'Expo ML'!$D$120/1000,'Expo ML'!$D$121/1000)))</f>
        <v>2.2951175335732805</v>
      </c>
      <c r="J4" s="136">
        <f>IF('Data entry screen'!$D$3="75th percentile",'Expo ML'!C120/1000,'Expo ML'!C121/1000)</f>
        <v>2.2951175335732805</v>
      </c>
    </row>
    <row r="5" spans="1:10" ht="12.75">
      <c r="A5" s="60" t="s">
        <v>49</v>
      </c>
      <c r="B5" s="61">
        <v>2</v>
      </c>
      <c r="C5" s="96">
        <f>IF('Data entry screen'!$D$3="75th percentile",'Expo ML'!E126/1000,'Expo ML'!E127/1000)</f>
        <v>0.29638984252963485</v>
      </c>
      <c r="D5" s="61"/>
      <c r="E5" s="96">
        <f>IF(AND('Data entry screen'!$B$21="None",'Data entry screen'!$D$3="75th percentile"),'Expo ML'!$C$126/1000,IF(AND('Data entry screen'!$B$21="None",'Data entry screen'!$D$3="Geometric mean"),'Expo ML'!$C$127/1000,IF(AND('Data entry screen'!$B$21="Gloves",'Data entry screen'!$D$3="75th percentile"),'Expo ML'!$D$126/1000,'Expo ML'!$D$127/1000)))</f>
        <v>38.63561637498382</v>
      </c>
      <c r="F5" s="96">
        <f>IF(AND('Data entry screen'!$B$32="None",'Data entry screen'!$D$3="75th percentile"),'Expo ML'!$C$126/1000,IF(AND('Data entry screen'!$B$32="None",'Data entry screen'!$D$3="Geometric mean"),'Expo ML'!$C$127/1000,IF(AND('Data entry screen'!$B$32="Gloves",'Data entry screen'!$D$3="75th percentile"),'Expo ML'!$D$126/1000,'Expo ML'!$D$127/1000)))</f>
        <v>38.63561637498382</v>
      </c>
      <c r="G5" s="96">
        <f>IF(AND('Data entry screen'!$B$43="None",'Data entry screen'!$D$3="75th percentile"),'Expo ML'!$C$126/1000,IF(AND('Data entry screen'!$B$43="None",'Data entry screen'!$D$3="Geometric mean"),'Expo ML'!$C$127/1000,IF(AND('Data entry screen'!$B$43="Gloves",'Data entry screen'!$D$3="75th percentile"),'Expo ML'!$D$126/1000,'Expo ML'!$D$127/1000)))</f>
        <v>38.63561637498382</v>
      </c>
      <c r="H5" s="96">
        <f>IF(AND('Data entry screen'!$B$54="None",'Data entry screen'!$D$3="75th percentile"),'Expo ML'!$C$126/1000,IF(AND('Data entry screen'!$B$54="None",'Data entry screen'!$D$3="Geometric mean"),'Expo ML'!$C$127/1000,IF(AND('Data entry screen'!$B$54="Gloves",'Data entry screen'!$D$3="75th percentile"),'Expo ML'!$D$126/1000,'Expo ML'!$D$127/1000)))</f>
        <v>38.63561637498382</v>
      </c>
      <c r="J5" s="136">
        <f>IF('Data entry screen'!$D$3="75th percentile",'Expo ML'!C126/1000,'Expo ML'!C127/1000)</f>
        <v>38.63561637498382</v>
      </c>
    </row>
    <row r="6" spans="1:10" ht="12.75">
      <c r="A6" s="60" t="s">
        <v>47</v>
      </c>
      <c r="B6" s="61">
        <v>3</v>
      </c>
      <c r="C6" s="61">
        <f>IF('Data entry screen'!$D$3="75th percentile",'Expo ML'!E137/1000,'Expo ML'!E138/1000)</f>
        <v>4.9430641821946175E-05</v>
      </c>
      <c r="D6" s="61"/>
      <c r="E6" s="96">
        <f>IF(AND('Data entry screen'!$B$21="None",'Data entry screen'!$D$3="75th percentile"),'Expo ML'!$C$132/1000,IF(AND('Data entry screen'!$B$21="None",'Data entry screen'!$D$3="Geometric mean"),'Expo ML'!$C$133/1000,IF(AND('Data entry screen'!$B$21="Gloves",'Data entry screen'!$D$3="75th percentile"),'Expo ML'!$D$132/1000,'Expo ML'!$D$133/1000)))</f>
        <v>2.007000846794942</v>
      </c>
      <c r="F6" s="96">
        <f>IF(AND('Data entry screen'!$B$32="None",'Data entry screen'!$D$3="75th percentile"),'Expo ML'!$C$132/1000,IF(AND('Data entry screen'!$B$32="None",'Data entry screen'!$D$3="Geometric mean"),'Expo ML'!$C$133/1000,IF(AND('Data entry screen'!$B$32="Gloves",'Data entry screen'!$D$3="75th percentile"),'Expo ML'!$D$132/1000,'Expo ML'!$D$133/1000)))</f>
        <v>2.007000846794942</v>
      </c>
      <c r="G6" s="96">
        <f>IF(AND('Data entry screen'!$B$43="None",'Data entry screen'!$D$3="75th percentile"),'Expo ML'!$C$132/1000,IF(AND('Data entry screen'!$B$43="None",'Data entry screen'!$D$3="Geometric mean"),'Expo ML'!$C$133/1000,IF(AND('Data entry screen'!$B$43="Gloves",'Data entry screen'!$D$3="75th percentile"),'Expo ML'!$D$132/1000,'Expo ML'!$D$133/1000)))</f>
        <v>2.007000846794942</v>
      </c>
      <c r="H6" s="96">
        <f>IF(AND('Data entry screen'!$B$54="None",'Data entry screen'!$D$3="75th percentile"),'Expo ML'!$C$132/1000,IF(AND('Data entry screen'!$B$54="None",'Data entry screen'!$D$3="Geometric mean"),'Expo ML'!$C$133/1000,IF(AND('Data entry screen'!$B$54="Gloves",'Data entry screen'!$D$3="75th percentile"),'Expo ML'!$D$132/1000,'Expo ML'!$D$133/1000)))</f>
        <v>2.007000846794942</v>
      </c>
      <c r="J6" s="136">
        <f>IF('Data entry screen'!$D$3="75th percentile",'Expo ML'!C132/1000,'Expo ML'!C133/1000)</f>
        <v>2.007000846794942</v>
      </c>
    </row>
    <row r="7" spans="2:6" ht="12.75">
      <c r="B7" s="61"/>
      <c r="C7" s="61"/>
      <c r="D7" s="61"/>
      <c r="E7" s="61"/>
      <c r="F7" s="61"/>
    </row>
    <row r="8" spans="2:6" ht="12.75">
      <c r="B8" s="61"/>
      <c r="C8" s="61"/>
      <c r="D8" s="61"/>
      <c r="E8" s="61"/>
      <c r="F8" s="61"/>
    </row>
    <row r="9" spans="1:15" ht="39" customHeight="1">
      <c r="A9" s="62" t="s">
        <v>2</v>
      </c>
      <c r="B9" s="63"/>
      <c r="C9" s="50" t="s">
        <v>60</v>
      </c>
      <c r="D9" s="50" t="s">
        <v>301</v>
      </c>
      <c r="E9" s="50" t="s">
        <v>302</v>
      </c>
      <c r="F9" s="50" t="s">
        <v>302</v>
      </c>
      <c r="G9" s="50" t="s">
        <v>302</v>
      </c>
      <c r="H9" s="50" t="s">
        <v>302</v>
      </c>
      <c r="I9" s="50" t="s">
        <v>303</v>
      </c>
      <c r="K9" s="137" t="s">
        <v>308</v>
      </c>
      <c r="L9" s="137" t="s">
        <v>307</v>
      </c>
      <c r="M9" s="137" t="s">
        <v>306</v>
      </c>
      <c r="N9" s="137" t="s">
        <v>335</v>
      </c>
      <c r="O9" s="137" t="s">
        <v>398</v>
      </c>
    </row>
    <row r="10" spans="1:15" ht="12.75">
      <c r="A10" s="78" t="s">
        <v>98</v>
      </c>
      <c r="B10" s="61">
        <v>1</v>
      </c>
      <c r="C10" s="61">
        <f>IF('Data entry screen'!$D$3="75th percentile",'Expo Appl'!H107/1000,'Expo Appl'!H108/1000)</f>
        <v>0.6769548608495896</v>
      </c>
      <c r="D10" s="61">
        <f>IF('Data entry screen'!$D$3="75th percentile",'Expo Appl'!E107/1000,'Expo Appl'!E108/1000)</f>
        <v>0.806060606060606</v>
      </c>
      <c r="E10" s="95">
        <f>IF(AND('Data entry screen'!$D$20="None",'Data entry screen'!$D$3="75th percentile"),'Expo Appl'!$D$107/1000,IF(AND('Data entry screen'!$D$20="None",'Data entry screen'!$D$3="Geometric mean"),'Expo Appl'!$D$108/1000,IF(AND('Data entry screen'!$D$20="Gloves",'Data entry screen'!$D$3="75th percentile"),'Expo Appl'!$G$107/1000,'Expo Appl'!$G$108/1000)))</f>
        <v>25.19038613053613</v>
      </c>
      <c r="F10" s="95">
        <f>IF(AND('Data entry screen'!$D$31="None",'Data entry screen'!$D$3="75th percentile"),'Expo Appl'!$D$107/1000,IF(AND('Data entry screen'!$D$31="None",'Data entry screen'!$D$3="Geometric mean"),'Expo Appl'!$D$108/1000,IF(AND('Data entry screen'!$D$31="Gloves",'Data entry screen'!$D$3="75th percentile"),'Expo Appl'!$G$107/1000,'Expo Appl'!$G$108/1000)))</f>
        <v>25.19038613053613</v>
      </c>
      <c r="G10" s="95">
        <f>IF(AND('Data entry screen'!$D$42="None",'Data entry screen'!$D$3="75th percentile"),'Expo Appl'!$D$107/1000,IF(AND('Data entry screen'!$D$42="None",'Data entry screen'!$D$3="Geometric mean"),'Expo Appl'!$D$108/1000,IF(AND('Data entry screen'!$D$42="Gloves",'Data entry screen'!$D$3="75th percentile"),'Expo Appl'!$G$107/1000,'Expo Appl'!$G$108/1000)))</f>
        <v>25.19038613053613</v>
      </c>
      <c r="H10" s="95">
        <f>IF(AND('Data entry screen'!$D$53="None",'Data entry screen'!$D$3="75th percentile"),'Expo Appl'!$D$107/1000,IF(AND('Data entry screen'!$D$53="None",'Data entry screen'!$D$3="Geometric mean"),'Expo Appl'!$D$108/1000,IF(AND('Data entry screen'!$D$53="Gloves",'Data entry screen'!$D$3="75th percentile"),'Expo Appl'!$G$107/1000,'Expo Appl'!$G$108/1000)))</f>
        <v>25.19038613053613</v>
      </c>
      <c r="I10" s="61">
        <f>IF('Data entry screen'!$D$3="75th percentile",'Expo Appl'!$C$107/1000,'Expo Appl'!$C$108/1000)</f>
        <v>465.0184267980886</v>
      </c>
      <c r="K10" s="138">
        <f>IF('Data entry screen'!$D$3="75th percentile",'Expo Appl'!H107/1000,'Expo Appl'!H108/1000)</f>
        <v>0.6769548608495896</v>
      </c>
      <c r="L10" s="138">
        <f>IF('Data entry screen'!$D$3="75th percentile",'Expo Appl'!E107/1000,'Expo Appl'!E108/1000)</f>
        <v>0.806060606060606</v>
      </c>
      <c r="M10" s="139">
        <f>IF('Data entry screen'!$D$3="75th percentile",'Expo Appl'!D107/1000,'Expo Appl'!D108/1000)</f>
        <v>25.19038613053613</v>
      </c>
      <c r="N10" s="138">
        <f>IF('Data entry screen'!$D$3="75th percentile",'Expo Appl'!F107/1000,'Expo Appl'!F108/1000)</f>
        <v>17.08412631842649</v>
      </c>
      <c r="O10" s="138">
        <f>IF('Data entry screen'!$D$3="75th percentile",'Expo Appl'!J107/1000,'Expo Appl'!J108/1000)</f>
        <v>342.3182604218067</v>
      </c>
    </row>
    <row r="11" spans="1:15" ht="12.75">
      <c r="A11" s="78" t="s">
        <v>99</v>
      </c>
      <c r="B11" s="61">
        <v>2</v>
      </c>
      <c r="C11" s="61">
        <f>IF('Data entry screen'!$D$3="75th percentile",'Expo Appl'!H112/1000,'Expo Appl'!H113/1000)</f>
        <v>0.8244674714956406</v>
      </c>
      <c r="D11" s="61">
        <f>IF('Data entry screen'!$D$3="75th percentile",'Expo Appl'!E112/1000,'Expo Appl'!E113/1000)</f>
        <v>1.0662296620775968</v>
      </c>
      <c r="E11" s="113">
        <f>IF('Data entry screen'!$D$3="75th percentile",'Expo Appl'!$G$112/1000,'Expo Appl'!$G$113/1000)</f>
        <v>1.0515089411291942</v>
      </c>
      <c r="F11" s="113">
        <f>IF('Data entry screen'!$D$3="75th percentile",'Expo Appl'!$G$112/1000,'Expo Appl'!$G$113/1000)</f>
        <v>1.0515089411291942</v>
      </c>
      <c r="G11" s="113">
        <f>IF('Data entry screen'!$D$3="75th percentile",'Expo Appl'!$G$112/1000,'Expo Appl'!$G$113/1000)</f>
        <v>1.0515089411291942</v>
      </c>
      <c r="H11" s="113">
        <f>IF('Data entry screen'!$D$3="75th percentile",'Expo Appl'!$G$112/1000,'Expo Appl'!$G$113/1000)</f>
        <v>1.0515089411291942</v>
      </c>
      <c r="I11" s="61">
        <f>IF('Data entry screen'!$D$3="75th percentile",'Expo Appl'!$F$112/1000,'Expo Appl'!$F$113/1000)</f>
        <v>2.173656150648081</v>
      </c>
      <c r="K11" s="138">
        <f>IF('Data entry screen'!$D$3="75th percentile",'Expo Appl'!H112/1000,'Expo Appl'!H113/1000)</f>
        <v>0.8244674714956406</v>
      </c>
      <c r="L11" s="138">
        <f>IF('Data entry screen'!$D$3="75th percentile",'Expo Appl'!E112/1000,'Expo Appl'!E113/1000)</f>
        <v>1.0662296620775968</v>
      </c>
      <c r="M11" s="140"/>
      <c r="N11" s="138"/>
      <c r="O11" s="138"/>
    </row>
    <row r="12" spans="1:15" ht="12.75">
      <c r="A12" s="78" t="s">
        <v>101</v>
      </c>
      <c r="B12" s="61">
        <v>3</v>
      </c>
      <c r="C12" s="61">
        <f>IF('Data entry screen'!$D$3="75th percentile",'Expo Appl'!H117/1000,'Expo Appl'!H118/1000)</f>
        <v>0.443296378024522</v>
      </c>
      <c r="D12" s="61">
        <f>IF('Data entry screen'!$D$3="75th percentile",'Expo Appl'!E117/1000,'Expo Appl'!E118/1000)</f>
        <v>0.01149440429589481</v>
      </c>
      <c r="E12" s="203">
        <f>IF(AND('Data entry screen'!$D$20="None",'Data entry screen'!$D$3="75th percentile"),'Expo Appl'!$D$117/1000,IF(AND('Data entry screen'!$D$20="None",'Data entry screen'!$D$3="Geometric mean"),'Expo Appl'!$D$118/1000,IF(AND('Data entry screen'!$D$20="Gloves",'Data entry screen'!$D$3="75th percentile"),'Expo Appl'!$G$117/1000,'Expo Appl'!$G$118/1000)))</f>
        <v>5.710484992843085</v>
      </c>
      <c r="F12" s="95">
        <f>IF(AND('Data entry screen'!$D$31="None",'Data entry screen'!$D$3="75th percentile"),'Expo Appl'!$D$117/1000,IF(AND('Data entry screen'!$D$31="None",'Data entry screen'!$D$3="Geometric mean"),'Expo Appl'!$D$118/1000,IF(AND('Data entry screen'!$D$31="Gloves",'Data entry screen'!$D$3="75th percentile"),'Expo Appl'!$G$117/1000,'Expo Appl'!$G$118/1000)))</f>
        <v>5.710484992843085</v>
      </c>
      <c r="G12" s="95">
        <f>IF(AND('Data entry screen'!$D$42="None",'Data entry screen'!$D$3="75th percentile"),'Expo Appl'!$D$117/1000,IF(AND('Data entry screen'!$D$42="None",'Data entry screen'!$D$3="Geometric mean"),'Expo Appl'!$D$118/1000,IF(AND('Data entry screen'!$D$42="Gloves",'Data entry screen'!$D$3="75th percentile"),'Expo Appl'!$G$117/1000,'Expo Appl'!$G$118/1000)))</f>
        <v>5.710484992843085</v>
      </c>
      <c r="H12" s="95">
        <f>IF(AND('Data entry screen'!$D$53="None",'Data entry screen'!$D$3="75th percentile"),'Expo Appl'!$D$117/1000,IF(AND('Data entry screen'!$D$53="None",'Data entry screen'!$D$3="Geometric mean"),'Expo Appl'!$D$118/1000,IF(AND('Data entry screen'!$D$53="Gloves",'Data entry screen'!$D$3="75th percentile"),'Expo Appl'!$G$117/1000,'Expo Appl'!$G$118/1000)))</f>
        <v>5.710484992843085</v>
      </c>
      <c r="I12" s="61"/>
      <c r="K12" s="138">
        <f>IF('Data entry screen'!$D$3="75th percentile",'Expo Appl'!H117/1000,'Expo Appl'!H118/1000)</f>
        <v>0.443296378024522</v>
      </c>
      <c r="L12" s="138">
        <f>IF('Data entry screen'!$D$3="75th percentile",'Expo Appl'!E117/1000,'Expo Appl'!E118/1000)</f>
        <v>0.01149440429589481</v>
      </c>
      <c r="M12" s="139">
        <f>IF('Data entry screen'!$D$3="75th percentile",'Expo Appl'!D117/1000,'Expo Appl'!D118/1000)</f>
        <v>5.710484992843085</v>
      </c>
      <c r="N12" s="138">
        <f>IF('Data entry screen'!$D$3="75th percentile",'Expo Appl'!F117/1000,'Expo Appl'!F118/1000)</f>
        <v>0.37296047030091195</v>
      </c>
      <c r="O12" s="138">
        <f>IF('Data entry screen'!$D$3="75th percentile",'Expo Appl'!J117/1000,'Expo Appl'!J118/1000)</f>
        <v>68.24818472761383</v>
      </c>
    </row>
    <row r="13" spans="1:15" ht="12.75">
      <c r="A13" s="78" t="s">
        <v>102</v>
      </c>
      <c r="B13" s="61">
        <v>4</v>
      </c>
      <c r="C13" s="61">
        <f>IF('Data entry screen'!$D$3="75th percentile",'Expo Appl'!H123/1000,'Expo Appl'!H124/1000)</f>
        <v>1.465225885225885</v>
      </c>
      <c r="D13" s="61">
        <f>IF('Data entry screen'!$D$3="75th percentile",'Expo Appl'!E123/1000,'Expo Appl'!E124/1000)</f>
        <v>0.3638740627076066</v>
      </c>
      <c r="E13" s="95">
        <f>IF(AND('Data entry screen'!$D$20="None",'Data entry screen'!$D$3="75th percentile"),'Expo Appl'!$D$123/1000,IF(AND('Data entry screen'!$D$20="None",'Data entry screen'!$D$3="Geometric mean"),'Expo Appl'!$D$124/1000,IF(AND('Data entry screen'!$D$20="Gloves",'Data entry screen'!$D$3="75th percentile"),'Expo Appl'!$G$127/1000,'Expo Appl'!$G$128/1000)))</f>
        <v>28.618020316046827</v>
      </c>
      <c r="F13" s="95">
        <f>IF(AND('Data entry screen'!$D$31="None",'Data entry screen'!$D$3="75th percentile"),'Expo Appl'!$D$123/1000,IF(AND('Data entry screen'!$D$31="None",'Data entry screen'!$D$3="Geometric mean"),'Expo Appl'!$D$124/1000,IF(AND('Data entry screen'!$D$31="Gloves",'Data entry screen'!$D$3="75th percentile"),'Expo Appl'!$G$127/1000,'Expo Appl'!$G$128/1000)))</f>
        <v>28.618020316046827</v>
      </c>
      <c r="G13" s="95">
        <f>IF(AND('Data entry screen'!$D$42="None",'Data entry screen'!$D$3="75th percentile"),'Expo Appl'!$D$123/1000,IF(AND('Data entry screen'!$D$42="None",'Data entry screen'!$D$3="Geometric mean"),'Expo Appl'!$D$124/1000,IF(AND('Data entry screen'!$D$42="Gloves",'Data entry screen'!$D$3="75th percentile"),'Expo Appl'!$G$127/1000,'Expo Appl'!$G$128/1000)))</f>
        <v>28.618020316046827</v>
      </c>
      <c r="H13" s="95">
        <f>IF(AND('Data entry screen'!$D$53="None",'Data entry screen'!$D$3="75th percentile"),'Expo Appl'!$D$123/1000,IF(AND('Data entry screen'!$D$53="None",'Data entry screen'!$D$3="Geometric mean"),'Expo Appl'!$D$124/1000,IF(AND('Data entry screen'!$D$53="Gloves",'Data entry screen'!$D$3="75th percentile"),'Expo Appl'!$G$127/1000,'Expo Appl'!$G$128/1000)))</f>
        <v>28.618020316046827</v>
      </c>
      <c r="I13" s="61">
        <f>IF('Data entry screen'!$D$3="75th percentile",'Expo Appl'!$F$127/1000,'Expo Appl'!$F$128/1000)</f>
        <v>1.608571966214099</v>
      </c>
      <c r="K13" s="138">
        <f>IF('Data entry screen'!$D$3="75th percentile",'Expo Appl'!H123/1000,'Expo Appl'!H124/1000)</f>
        <v>1.465225885225885</v>
      </c>
      <c r="L13" s="138">
        <f>IF('Data entry screen'!$D$3="75th percentile",'Expo Appl'!E123/1000,'Expo Appl'!E124/1000)</f>
        <v>0.3638740627076066</v>
      </c>
      <c r="M13" s="139">
        <f>IF('Data entry screen'!$D$3="75th percentile",'Expo Appl'!D123/1000,'Expo Appl'!D124/1000)</f>
        <v>28.618020316046827</v>
      </c>
      <c r="N13" s="138">
        <f>IF('Data entry screen'!$D$3="75th percentile",'Expo Appl'!F123/1000,'Expo Appl'!F124/1000)</f>
        <v>305.29735491716065</v>
      </c>
      <c r="O13" s="138"/>
    </row>
    <row r="14" spans="2:6" ht="12.75">
      <c r="B14" s="61"/>
      <c r="C14" s="61"/>
      <c r="D14" s="61"/>
      <c r="E14" s="61"/>
      <c r="F14" s="61"/>
    </row>
    <row r="15" spans="1:6" ht="15.75">
      <c r="A15" s="64" t="s">
        <v>338</v>
      </c>
      <c r="B15" s="61"/>
      <c r="C15" s="61"/>
      <c r="D15" s="61"/>
      <c r="E15" s="61"/>
      <c r="F15" s="61"/>
    </row>
    <row r="16" spans="1:6" ht="15.75">
      <c r="A16" s="64" t="s">
        <v>41</v>
      </c>
      <c r="B16" s="61"/>
      <c r="C16" s="61"/>
      <c r="D16" s="61"/>
      <c r="E16" s="61"/>
      <c r="F16" s="61"/>
    </row>
    <row r="17" spans="1:6" ht="12.75">
      <c r="A17" s="55" t="s">
        <v>3</v>
      </c>
      <c r="B17" s="61">
        <v>1</v>
      </c>
      <c r="C17" s="61">
        <v>1</v>
      </c>
      <c r="D17" s="61"/>
      <c r="E17" s="61"/>
      <c r="F17" s="61"/>
    </row>
    <row r="18" spans="1:6" ht="12.75">
      <c r="A18" s="55" t="s">
        <v>103</v>
      </c>
      <c r="B18" s="61">
        <v>2</v>
      </c>
      <c r="C18" s="61">
        <v>0.08</v>
      </c>
      <c r="D18" s="61"/>
      <c r="E18" s="61"/>
      <c r="F18" s="61"/>
    </row>
    <row r="19" spans="1:6" ht="12.75">
      <c r="A19" s="55" t="s">
        <v>363</v>
      </c>
      <c r="B19" s="61">
        <v>3</v>
      </c>
      <c r="C19" s="61">
        <v>0.02</v>
      </c>
      <c r="D19" s="61"/>
      <c r="E19" s="61"/>
      <c r="F19" s="61"/>
    </row>
    <row r="20" spans="2:6" ht="12.75">
      <c r="B20" s="61"/>
      <c r="C20" s="61"/>
      <c r="D20" s="61"/>
      <c r="E20" s="61"/>
      <c r="F20" s="61"/>
    </row>
    <row r="21" spans="1:6" ht="15.75">
      <c r="A21" s="64" t="s">
        <v>42</v>
      </c>
      <c r="B21" s="61"/>
      <c r="C21" s="61"/>
      <c r="D21" s="61"/>
      <c r="E21" s="61"/>
      <c r="F21" s="61"/>
    </row>
    <row r="22" spans="1:6" ht="12.75">
      <c r="A22" s="55" t="s">
        <v>3</v>
      </c>
      <c r="B22" s="61">
        <v>1</v>
      </c>
      <c r="C22" s="61">
        <v>1</v>
      </c>
      <c r="D22" s="61"/>
      <c r="E22" s="61"/>
      <c r="F22" s="61"/>
    </row>
    <row r="23" spans="1:6" ht="12.75">
      <c r="A23" s="55" t="s">
        <v>20</v>
      </c>
      <c r="B23" s="61">
        <v>2</v>
      </c>
      <c r="C23" s="61">
        <v>0.01</v>
      </c>
      <c r="D23" s="61"/>
      <c r="E23" s="61"/>
      <c r="F23" s="61"/>
    </row>
    <row r="24" spans="2:6" ht="12.75">
      <c r="B24" s="61"/>
      <c r="C24" s="61"/>
      <c r="D24" s="61"/>
      <c r="E24" s="61"/>
      <c r="F24" s="61"/>
    </row>
    <row r="25" spans="1:6" ht="15.75">
      <c r="A25" s="64" t="s">
        <v>43</v>
      </c>
      <c r="B25" s="61"/>
      <c r="C25" s="65" t="s">
        <v>57</v>
      </c>
      <c r="D25" s="65" t="s">
        <v>56</v>
      </c>
      <c r="E25" s="61"/>
      <c r="F25" s="61"/>
    </row>
    <row r="26" spans="1:6" ht="12.75">
      <c r="A26" s="55" t="s">
        <v>3</v>
      </c>
      <c r="B26" s="61">
        <v>1</v>
      </c>
      <c r="C26" s="61">
        <v>1</v>
      </c>
      <c r="D26" s="61">
        <v>1</v>
      </c>
      <c r="E26" s="61"/>
      <c r="F26" s="61"/>
    </row>
    <row r="27" spans="1:6" ht="12.75">
      <c r="A27" s="55" t="s">
        <v>103</v>
      </c>
      <c r="B27" s="61">
        <v>2</v>
      </c>
      <c r="C27" s="61">
        <v>0.08</v>
      </c>
      <c r="D27" s="61">
        <v>0.8</v>
      </c>
      <c r="E27" s="61"/>
      <c r="F27" s="61"/>
    </row>
    <row r="28" spans="1:6" ht="12.75">
      <c r="A28" s="55" t="s">
        <v>363</v>
      </c>
      <c r="B28" s="61">
        <v>3</v>
      </c>
      <c r="C28" s="61">
        <v>0.02</v>
      </c>
      <c r="D28" s="61">
        <v>0.8</v>
      </c>
      <c r="E28" s="61"/>
      <c r="F28" s="61"/>
    </row>
    <row r="29" spans="2:6" ht="12.75">
      <c r="B29" s="61"/>
      <c r="C29" s="61"/>
      <c r="D29" s="61"/>
      <c r="E29" s="61"/>
      <c r="F29" s="61"/>
    </row>
    <row r="30" spans="1:6" ht="15.75">
      <c r="A30" s="64" t="s">
        <v>44</v>
      </c>
      <c r="B30" s="61"/>
      <c r="C30" s="61"/>
      <c r="D30" s="61"/>
      <c r="E30" s="61"/>
      <c r="F30" s="61"/>
    </row>
    <row r="31" spans="1:6" ht="12.75">
      <c r="A31" s="55" t="s">
        <v>3</v>
      </c>
      <c r="B31" s="61">
        <v>1</v>
      </c>
      <c r="C31" s="61">
        <v>1</v>
      </c>
      <c r="D31" s="61"/>
      <c r="E31" s="61"/>
      <c r="F31" s="61"/>
    </row>
    <row r="32" spans="1:6" ht="12.75">
      <c r="A32" s="55" t="s">
        <v>20</v>
      </c>
      <c r="B32" s="61">
        <v>2</v>
      </c>
      <c r="C32" s="61">
        <v>0.01</v>
      </c>
      <c r="D32" s="61"/>
      <c r="E32" s="61"/>
      <c r="F32" s="61"/>
    </row>
    <row r="33" spans="2:6" ht="12.75">
      <c r="B33" s="61"/>
      <c r="C33" s="61"/>
      <c r="D33" s="61"/>
      <c r="E33" s="61"/>
      <c r="F33" s="61"/>
    </row>
    <row r="34" spans="1:6" ht="15.75">
      <c r="A34" s="64" t="s">
        <v>45</v>
      </c>
      <c r="B34" s="61"/>
      <c r="C34" s="61"/>
      <c r="D34" s="61"/>
      <c r="E34" s="61"/>
      <c r="F34" s="61"/>
    </row>
    <row r="35" spans="1:6" ht="12.75">
      <c r="A35" s="78" t="s">
        <v>3</v>
      </c>
      <c r="B35" s="61">
        <v>1</v>
      </c>
      <c r="C35" s="61">
        <v>1</v>
      </c>
      <c r="D35" s="61"/>
      <c r="E35" s="61"/>
      <c r="F35" s="61"/>
    </row>
    <row r="36" spans="1:6" ht="12.75">
      <c r="A36" s="78" t="s">
        <v>104</v>
      </c>
      <c r="B36" s="61">
        <v>2</v>
      </c>
      <c r="C36" s="61">
        <v>0.5</v>
      </c>
      <c r="D36" s="61"/>
      <c r="E36" s="61"/>
      <c r="F36" s="61"/>
    </row>
    <row r="37" spans="1:6" ht="12.75">
      <c r="A37" s="78" t="s">
        <v>105</v>
      </c>
      <c r="B37" s="61">
        <v>3</v>
      </c>
      <c r="C37" s="61">
        <v>0.05</v>
      </c>
      <c r="D37" s="61"/>
      <c r="E37" s="61"/>
      <c r="F37" s="61"/>
    </row>
    <row r="38" spans="2:6" ht="12.75">
      <c r="B38" s="61"/>
      <c r="C38" s="61"/>
      <c r="D38" s="61"/>
      <c r="E38" s="61"/>
      <c r="F38" s="61"/>
    </row>
    <row r="39" spans="1:6" ht="15.75">
      <c r="A39" s="64" t="s">
        <v>46</v>
      </c>
      <c r="B39" s="61"/>
      <c r="C39" s="61"/>
      <c r="D39" s="61"/>
      <c r="E39" s="61"/>
      <c r="F39" s="61"/>
    </row>
    <row r="40" spans="1:6" ht="12.75">
      <c r="A40" s="55" t="s">
        <v>106</v>
      </c>
      <c r="B40" s="61">
        <v>1</v>
      </c>
      <c r="C40" s="61">
        <v>1</v>
      </c>
      <c r="D40" s="61"/>
      <c r="E40" s="61"/>
      <c r="F40" s="61"/>
    </row>
    <row r="41" spans="1:6" ht="12.75">
      <c r="A41" s="55" t="s">
        <v>100</v>
      </c>
      <c r="B41" s="61">
        <v>2</v>
      </c>
      <c r="C41" s="61">
        <v>0.005</v>
      </c>
      <c r="D41" s="61"/>
      <c r="E41" s="61"/>
      <c r="F41" s="61"/>
    </row>
    <row r="42" ht="12.75"/>
  </sheetData>
  <sheetProtection sheet="1" objects="1" scenarios="1" formatCells="0" formatColumns="0" formatRows="0"/>
  <mergeCells count="3">
    <mergeCell ref="E2:H2"/>
    <mergeCell ref="C1:F1"/>
    <mergeCell ref="C2:D2"/>
  </mergeCells>
  <printOptions/>
  <pageMargins left="0.7874015748031497" right="0.3937007874015748" top="0.7086614173228347" bottom="0.7086614173228347" header="0.3937007874015748" footer="0.3937007874015748"/>
  <pageSetup fitToHeight="1" fitToWidth="1" horizontalDpi="1200" verticalDpi="1200" orientation="portrait" paperSize="9" scale="39" r:id="rId3"/>
  <headerFooter alignWithMargins="0">
    <oddHeader>&amp;RAusdruck vom &amp;D.</oddHeader>
    <oddFooter>&amp;LRegister: &amp;A.
Datei: &amp;F.&amp;C&amp;P. Seite von &amp;N Seite(n)&amp;RThomas Anft (AT)</oddFooter>
  </headerFooter>
  <ignoredErrors>
    <ignoredError sqref="F10:F11 F12:F13" formula="1"/>
  </ignoredErrors>
  <legacyDrawing r:id="rId2"/>
</worksheet>
</file>

<file path=xl/worksheets/sheet24.xml><?xml version="1.0" encoding="utf-8"?>
<worksheet xmlns="http://schemas.openxmlformats.org/spreadsheetml/2006/main" xmlns:r="http://schemas.openxmlformats.org/officeDocument/2006/relationships">
  <sheetPr codeName="Feuil1"/>
  <dimension ref="A1:J139"/>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E3" sqref="E3"/>
    </sheetView>
  </sheetViews>
  <sheetFormatPr defaultColWidth="11.421875" defaultRowHeight="12.75"/>
  <cols>
    <col min="1" max="1" width="24.421875" style="240" bestFit="1" customWidth="1"/>
    <col min="2" max="2" width="16.00390625" style="240" customWidth="1"/>
    <col min="3" max="3" width="11.421875" style="236" customWidth="1"/>
    <col min="4" max="4" width="11.57421875" style="236" bestFit="1" customWidth="1"/>
    <col min="5" max="16384" width="11.421875" style="236" customWidth="1"/>
  </cols>
  <sheetData>
    <row r="1" spans="1:5" s="212" customFormat="1" ht="51">
      <c r="A1" s="210" t="s">
        <v>107</v>
      </c>
      <c r="B1" s="210" t="s">
        <v>365</v>
      </c>
      <c r="C1" s="211" t="s">
        <v>366</v>
      </c>
      <c r="D1" s="211" t="s">
        <v>367</v>
      </c>
      <c r="E1" s="211" t="s">
        <v>368</v>
      </c>
    </row>
    <row r="3" spans="1:5" s="216" customFormat="1" ht="12.75">
      <c r="A3" s="213" t="s">
        <v>108</v>
      </c>
      <c r="B3" s="214">
        <v>78</v>
      </c>
      <c r="C3" s="345">
        <f>'Indiv results ML'!K165</f>
        <v>3166.7517146776404</v>
      </c>
      <c r="D3" s="341">
        <f>'Indiv results ML'!L165</f>
        <v>0.22222222222222224</v>
      </c>
      <c r="E3" s="343">
        <f>'Indiv results ML'!M165</f>
        <v>63.183006535947705</v>
      </c>
    </row>
    <row r="4" spans="1:5" s="216" customFormat="1" ht="12.75">
      <c r="A4" s="213" t="s">
        <v>111</v>
      </c>
      <c r="B4" s="214">
        <v>84</v>
      </c>
      <c r="C4" s="344">
        <f>'Indiv results ML'!K167</f>
        <v>737.0904102755954</v>
      </c>
      <c r="D4" s="342">
        <f>'Indiv results ML'!L167</f>
        <v>8.969696969696969</v>
      </c>
      <c r="E4" s="342">
        <f>'Indiv results ML'!M167</f>
        <v>9.37908496732026</v>
      </c>
    </row>
    <row r="5" spans="1:5" s="216" customFormat="1" ht="12.75">
      <c r="A5" s="213" t="s">
        <v>113</v>
      </c>
      <c r="B5" s="214">
        <v>85</v>
      </c>
      <c r="C5" s="344">
        <f>'Indiv results ML'!K169</f>
        <v>730.0843621399177</v>
      </c>
      <c r="D5" s="341">
        <f>'Indiv results ML'!L169</f>
        <v>0.16666666666666669</v>
      </c>
      <c r="E5" s="342">
        <f>'Indiv results ML'!M169</f>
        <v>1.1666666666666667</v>
      </c>
    </row>
    <row r="6" spans="1:5" s="216" customFormat="1" ht="12.75">
      <c r="A6" s="213" t="s">
        <v>115</v>
      </c>
      <c r="B6" s="214">
        <v>82</v>
      </c>
      <c r="C6" s="345">
        <f>'Indiv results ML'!K171</f>
        <v>4251.399763399763</v>
      </c>
      <c r="D6" s="342">
        <f>'Indiv results ML'!L171</f>
        <v>3.151515151515151</v>
      </c>
      <c r="E6" s="342">
        <f>'Indiv results ML'!M171</f>
        <v>5.6122004357298465</v>
      </c>
    </row>
    <row r="7" spans="1:5" s="216" customFormat="1" ht="12.75">
      <c r="A7" s="213" t="s">
        <v>117</v>
      </c>
      <c r="B7" s="214">
        <v>83</v>
      </c>
      <c r="C7" s="344">
        <f>'Indiv results ML'!K173</f>
        <v>705.2043895747598</v>
      </c>
      <c r="D7" s="346">
        <f>'Indiv results ML'!L173</f>
        <v>0.07407407407407407</v>
      </c>
      <c r="E7" s="342">
        <f>'Indiv results ML'!M173</f>
        <v>2.1350762527233114</v>
      </c>
    </row>
    <row r="8" spans="1:5" s="216" customFormat="1" ht="12.75">
      <c r="A8" s="213" t="s">
        <v>119</v>
      </c>
      <c r="B8" s="214">
        <v>63</v>
      </c>
      <c r="C8" s="345">
        <f>'Indiv results ML'!K175</f>
        <v>6968.635135135136</v>
      </c>
      <c r="D8" s="341">
        <f>'Indiv results ML'!L175</f>
        <v>0.16666666666666669</v>
      </c>
      <c r="E8" s="343">
        <f>'Indiv results ML'!M175</f>
        <v>12.970588235294116</v>
      </c>
    </row>
    <row r="9" spans="1:5" s="216" customFormat="1" ht="12.75">
      <c r="A9" s="213" t="s">
        <v>121</v>
      </c>
      <c r="B9" s="214">
        <v>93</v>
      </c>
      <c r="C9" s="345">
        <f>'Indiv results ML'!K177</f>
        <v>1725.4883401920436</v>
      </c>
      <c r="D9" s="341">
        <f>'Indiv results ML'!L177</f>
        <v>0.11111111111111112</v>
      </c>
      <c r="E9" s="341">
        <f>'Indiv results ML'!M177</f>
        <v>0.7777777777777778</v>
      </c>
    </row>
    <row r="10" spans="1:5" s="216" customFormat="1" ht="12.75">
      <c r="A10" s="213" t="s">
        <v>123</v>
      </c>
      <c r="B10" s="214">
        <v>85</v>
      </c>
      <c r="C10" s="345">
        <f>'Indiv results ML'!K179</f>
        <v>2166.125925925926</v>
      </c>
      <c r="D10" s="341">
        <f>'Indiv results ML'!L179</f>
        <v>0.2</v>
      </c>
      <c r="E10" s="343">
        <f>'Indiv results ML'!M179</f>
        <v>13.958823529411765</v>
      </c>
    </row>
    <row r="11" spans="1:5" s="216" customFormat="1" ht="12.75">
      <c r="A11" s="213" t="s">
        <v>125</v>
      </c>
      <c r="B11" s="214">
        <v>77</v>
      </c>
      <c r="C11" s="345">
        <f>'Indiv results ML'!K181</f>
        <v>2338.114736122399</v>
      </c>
      <c r="D11" s="342">
        <f>'Indiv results ML'!L181</f>
        <v>4.63949843260188</v>
      </c>
      <c r="E11" s="344">
        <f>'Indiv results ML'!M181</f>
        <v>118.72549019607843</v>
      </c>
    </row>
    <row r="12" spans="1:5" s="216" customFormat="1" ht="12.75">
      <c r="A12" s="213" t="s">
        <v>127</v>
      </c>
      <c r="B12" s="214">
        <v>95</v>
      </c>
      <c r="C12" s="344">
        <f>'Indiv results ML'!K183</f>
        <v>544.3782122609017</v>
      </c>
      <c r="D12" s="341">
        <f>'Indiv results ML'!L183</f>
        <v>0.2145922746781116</v>
      </c>
      <c r="E12" s="342">
        <f>'Indiv results ML'!M183</f>
        <v>1.5021459227467813</v>
      </c>
    </row>
    <row r="13" spans="1:5" s="216" customFormat="1" ht="12.75">
      <c r="A13" s="217" t="s">
        <v>129</v>
      </c>
      <c r="B13" s="218">
        <v>85</v>
      </c>
      <c r="C13" s="350">
        <f>'Indiv results ML'!K185</f>
        <v>829.7088122605364</v>
      </c>
      <c r="D13" s="349">
        <f>'Indiv results ML'!L185</f>
        <v>21.708812260536394</v>
      </c>
      <c r="E13" s="348">
        <f>'Indiv results ML'!M185</f>
        <v>4.888888888888889</v>
      </c>
    </row>
    <row r="14" spans="1:5" s="216" customFormat="1" ht="12.75">
      <c r="A14" s="217" t="s">
        <v>131</v>
      </c>
      <c r="B14" s="218">
        <v>100</v>
      </c>
      <c r="C14" s="350">
        <f>'Indiv results ML'!K187</f>
        <v>804.9216300940438</v>
      </c>
      <c r="D14" s="349">
        <f>'Indiv results ML'!L187</f>
        <v>26.739811912225704</v>
      </c>
      <c r="E14" s="347">
        <f>'Indiv results ML'!M187</f>
        <v>0.3181818181818182</v>
      </c>
    </row>
    <row r="15" spans="1:5" s="216" customFormat="1" ht="12.75">
      <c r="A15" s="217" t="s">
        <v>133</v>
      </c>
      <c r="B15" s="218">
        <v>70</v>
      </c>
      <c r="C15" s="350">
        <f>'Indiv results ML'!K189</f>
        <v>879</v>
      </c>
      <c r="D15" s="347">
        <f>'Indiv results ML'!L189</f>
        <v>0.7142857142857143</v>
      </c>
      <c r="E15" s="347">
        <f>'Indiv results ML'!M189</f>
        <v>0.5000000000000001</v>
      </c>
    </row>
    <row r="16" spans="1:5" s="216" customFormat="1" ht="12.75">
      <c r="A16" s="217" t="s">
        <v>135</v>
      </c>
      <c r="B16" s="218">
        <v>74</v>
      </c>
      <c r="C16" s="351">
        <f>'Indiv results ML'!K191</f>
        <v>2592.6879546967616</v>
      </c>
      <c r="D16" s="350">
        <f>'Indiv results ML'!L191</f>
        <v>123.04385141692936</v>
      </c>
      <c r="E16" s="348">
        <f>'Indiv results ML'!M191</f>
        <v>3.0704815073272855</v>
      </c>
    </row>
    <row r="17" spans="1:5" s="216" customFormat="1" ht="12.75">
      <c r="A17" s="217" t="s">
        <v>137</v>
      </c>
      <c r="B17" s="218">
        <v>90</v>
      </c>
      <c r="C17" s="351">
        <f>'Indiv results ML'!K193</f>
        <v>2371.29696969697</v>
      </c>
      <c r="D17" s="348">
        <f>'Indiv results ML'!L193</f>
        <v>7.660606060606061</v>
      </c>
      <c r="E17" s="348">
        <f>'Indiv results ML'!M193</f>
        <v>8.202020202020204</v>
      </c>
    </row>
    <row r="18" spans="1:5" s="216" customFormat="1" ht="12.75">
      <c r="A18" s="217" t="s">
        <v>139</v>
      </c>
      <c r="B18" s="218">
        <v>80</v>
      </c>
      <c r="C18" s="351">
        <f>'Indiv results ML'!K195</f>
        <v>1386.4989247311826</v>
      </c>
      <c r="D18" s="349">
        <f>'Indiv results ML'!L195</f>
        <v>15.316129032258063</v>
      </c>
      <c r="E18" s="347">
        <f>'Indiv results ML'!M195</f>
        <v>0.7526881720430108</v>
      </c>
    </row>
    <row r="19" spans="1:5" s="216" customFormat="1" ht="12.75">
      <c r="A19" s="217" t="s">
        <v>141</v>
      </c>
      <c r="B19" s="218">
        <v>65</v>
      </c>
      <c r="C19" s="351">
        <f>'Indiv results ML'!K197</f>
        <v>1223.7625570776256</v>
      </c>
      <c r="D19" s="348">
        <f>'Indiv results ML'!L197</f>
        <v>6.867579908675799</v>
      </c>
      <c r="E19" s="349">
        <f>'Indiv results ML'!M197</f>
        <v>11.45357686453577</v>
      </c>
    </row>
    <row r="20" spans="1:5" s="216" customFormat="1" ht="12.75">
      <c r="A20" s="217" t="s">
        <v>143</v>
      </c>
      <c r="B20" s="218">
        <v>85</v>
      </c>
      <c r="C20" s="351">
        <f>'Indiv results ML'!K199</f>
        <v>6531.724822695036</v>
      </c>
      <c r="D20" s="348">
        <f>'Indiv results ML'!L199</f>
        <v>9.739007092198582</v>
      </c>
      <c r="E20" s="349">
        <f>'Indiv results ML'!M199</f>
        <v>30.354609929078013</v>
      </c>
    </row>
    <row r="21" spans="1:5" s="216" customFormat="1" ht="12.75">
      <c r="A21" s="217" t="s">
        <v>145</v>
      </c>
      <c r="B21" s="218">
        <v>84</v>
      </c>
      <c r="C21" s="351">
        <f>'Indiv results ML'!K201</f>
        <v>3565.9415584415583</v>
      </c>
      <c r="D21" s="348">
        <f>'Indiv results ML'!L201</f>
        <v>4.253246753246754</v>
      </c>
      <c r="E21" s="349">
        <f>'Indiv results ML'!M201</f>
        <v>29.87012987012987</v>
      </c>
    </row>
    <row r="22" spans="1:5" s="216" customFormat="1" ht="12.75">
      <c r="A22" s="217" t="s">
        <v>147</v>
      </c>
      <c r="B22" s="218">
        <v>80</v>
      </c>
      <c r="C22" s="351">
        <f>'Indiv results ML'!K203</f>
        <v>1734.6145374449338</v>
      </c>
      <c r="D22" s="349">
        <f>'Indiv results ML'!L203</f>
        <v>22.059471365638768</v>
      </c>
      <c r="E22" s="349">
        <f>'Indiv results ML'!M203</f>
        <v>16.336270190895743</v>
      </c>
    </row>
    <row r="23" spans="1:5" s="216" customFormat="1" ht="12.75">
      <c r="A23" s="213" t="s">
        <v>149</v>
      </c>
      <c r="B23" s="214">
        <v>78</v>
      </c>
      <c r="C23" s="345">
        <f>'Indiv results ML'!K205</f>
        <v>6727.854574223246</v>
      </c>
      <c r="D23" s="342">
        <f>'Indiv results ML'!L205</f>
        <v>4.369725738396625</v>
      </c>
      <c r="E23" s="341">
        <f>'Indiv results ML'!M205</f>
        <v>0.7291666666666667</v>
      </c>
    </row>
    <row r="24" spans="1:5" s="216" customFormat="1" ht="12.75">
      <c r="A24" s="213" t="s">
        <v>151</v>
      </c>
      <c r="B24" s="214">
        <v>84</v>
      </c>
      <c r="C24" s="343">
        <f>'Indiv results ML'!K207</f>
        <v>30.905017921146953</v>
      </c>
      <c r="D24" s="341">
        <f>'Indiv results ML'!L207</f>
        <v>0.8333333333333334</v>
      </c>
      <c r="E24" s="341">
        <f>'Indiv results ML'!M207</f>
        <v>0.5833333333333334</v>
      </c>
    </row>
    <row r="25" spans="1:5" s="216" customFormat="1" ht="12.75">
      <c r="A25" s="213" t="s">
        <v>153</v>
      </c>
      <c r="B25" s="214">
        <v>69</v>
      </c>
      <c r="C25" s="345">
        <f>'Indiv results ML'!K209</f>
        <v>1864.8804848484847</v>
      </c>
      <c r="D25" s="343">
        <f>'Indiv results ML'!L209</f>
        <v>60.032000000000004</v>
      </c>
      <c r="E25" s="342">
        <f>'Indiv results ML'!M209</f>
        <v>9.138802660753878</v>
      </c>
    </row>
    <row r="26" spans="1:5" s="216" customFormat="1" ht="12.75">
      <c r="A26" s="213" t="s">
        <v>155</v>
      </c>
      <c r="B26" s="214">
        <v>60</v>
      </c>
      <c r="C26" s="345">
        <f>'Indiv results ML'!K211</f>
        <v>1551.884349827388</v>
      </c>
      <c r="D26" s="342">
        <f>'Indiv results ML'!L211</f>
        <v>4.5358649789029535</v>
      </c>
      <c r="E26" s="343">
        <f>'Indiv results ML'!M211</f>
        <v>15.361111111111112</v>
      </c>
    </row>
    <row r="27" spans="1:5" s="216" customFormat="1" ht="12.75">
      <c r="A27" s="213" t="s">
        <v>157</v>
      </c>
      <c r="B27" s="214">
        <v>78</v>
      </c>
      <c r="C27" s="345">
        <f>'Indiv results ML'!K213</f>
        <v>1003.5155350978135</v>
      </c>
      <c r="D27" s="343">
        <f>'Indiv results ML'!L213</f>
        <v>37.60644418872267</v>
      </c>
      <c r="E27" s="341">
        <f>'Indiv results ML'!M213</f>
        <v>0.6363636363636364</v>
      </c>
    </row>
    <row r="28" spans="1:5" s="216" customFormat="1" ht="12.75">
      <c r="A28" s="213" t="s">
        <v>159</v>
      </c>
      <c r="B28" s="214">
        <v>57</v>
      </c>
      <c r="C28" s="345">
        <f>'Indiv results ML'!K215</f>
        <v>1434.965034965035</v>
      </c>
      <c r="D28" s="341">
        <f>'Indiv results ML'!L215</f>
        <v>0.9615384615384615</v>
      </c>
      <c r="E28" s="341">
        <f>'Indiv results ML'!M215</f>
        <v>0.6730769230769231</v>
      </c>
    </row>
    <row r="29" spans="1:5" s="216" customFormat="1" ht="12.75">
      <c r="A29" s="213" t="s">
        <v>161</v>
      </c>
      <c r="B29" s="214">
        <v>70</v>
      </c>
      <c r="C29" s="345">
        <f>'Indiv results ML'!K217</f>
        <v>1274.2032932632108</v>
      </c>
      <c r="D29" s="344">
        <f>'Indiv results ML'!L217</f>
        <v>372.038567493113</v>
      </c>
      <c r="E29" s="341">
        <f>'Indiv results ML'!M217</f>
        <v>0.36157024793388437</v>
      </c>
    </row>
    <row r="30" spans="1:5" s="216" customFormat="1" ht="12.75">
      <c r="A30" s="213" t="s">
        <v>163</v>
      </c>
      <c r="B30" s="214">
        <v>82</v>
      </c>
      <c r="C30" s="345">
        <f>'Indiv results ML'!K219</f>
        <v>1698.563646962631</v>
      </c>
      <c r="D30" s="342">
        <f>'Indiv results ML'!L219</f>
        <v>7.848934043970686</v>
      </c>
      <c r="E30" s="341">
        <f>'Indiv results ML'!M219</f>
        <v>0.5756578947368421</v>
      </c>
    </row>
    <row r="31" spans="1:5" s="216" customFormat="1" ht="12.75">
      <c r="A31" s="213" t="s">
        <v>165</v>
      </c>
      <c r="B31" s="214">
        <v>104</v>
      </c>
      <c r="C31" s="345">
        <f>'Indiv results ML'!K221</f>
        <v>3881.027750004716</v>
      </c>
      <c r="D31" s="343">
        <f>'Indiv results ML'!L221</f>
        <v>23.601023725530883</v>
      </c>
      <c r="E31" s="341">
        <f>'Indiv results ML'!M221</f>
        <v>0.7650273224043717</v>
      </c>
    </row>
    <row r="32" spans="1:5" s="216" customFormat="1" ht="12.75">
      <c r="A32" s="213" t="s">
        <v>167</v>
      </c>
      <c r="B32" s="214">
        <v>69</v>
      </c>
      <c r="C32" s="345">
        <f>'Indiv results ML'!K223</f>
        <v>4830.931777669745</v>
      </c>
      <c r="D32" s="344">
        <f>'Indiv results ML'!L223</f>
        <v>254.6880570409982</v>
      </c>
      <c r="E32" s="343">
        <f>'Indiv results ML'!M223</f>
        <v>40.94204072813698</v>
      </c>
    </row>
    <row r="33" spans="1:5" s="219" customFormat="1" ht="12.75">
      <c r="A33" s="217" t="s">
        <v>189</v>
      </c>
      <c r="B33" s="257">
        <v>73.2</v>
      </c>
      <c r="C33" s="351">
        <f>'Indiv results ML'!K245</f>
        <v>171335.28315412183</v>
      </c>
      <c r="D33" s="349">
        <f>'Indiv results ML'!L245</f>
        <v>66.46594982078852</v>
      </c>
      <c r="E33" s="349">
        <f>'Indiv results ML'!M245</f>
        <v>56.093333333333334</v>
      </c>
    </row>
    <row r="34" spans="1:5" s="219" customFormat="1" ht="12.75">
      <c r="A34" s="220" t="s">
        <v>190</v>
      </c>
      <c r="B34" s="257">
        <v>82.5</v>
      </c>
      <c r="C34" s="351">
        <f>'Indiv results ML'!K246</f>
        <v>33923.44086021505</v>
      </c>
      <c r="D34" s="349">
        <f>'Indiv results ML'!L246</f>
        <v>56.45559538032656</v>
      </c>
      <c r="E34" s="349">
        <f>'Indiv results ML'!M246</f>
        <v>78.71111111111111</v>
      </c>
    </row>
    <row r="35" spans="1:5" s="219" customFormat="1" ht="12.75">
      <c r="A35" s="220" t="s">
        <v>191</v>
      </c>
      <c r="B35" s="257">
        <v>62.3</v>
      </c>
      <c r="C35" s="351">
        <f>'Indiv results ML'!K247</f>
        <v>27170.913067249865</v>
      </c>
      <c r="D35" s="349">
        <f>'Indiv results ML'!L247</f>
        <v>34.044104246400586</v>
      </c>
      <c r="E35" s="349">
        <f>'Indiv results ML'!M247</f>
        <v>66.96271186440677</v>
      </c>
    </row>
    <row r="36" spans="1:5" s="219" customFormat="1" ht="12.75">
      <c r="A36" s="220" t="s">
        <v>192</v>
      </c>
      <c r="B36" s="257">
        <v>58.8</v>
      </c>
      <c r="C36" s="351">
        <f>'Indiv results ML'!K248</f>
        <v>38329.39864595778</v>
      </c>
      <c r="D36" s="349">
        <f>'Indiv results ML'!L248</f>
        <v>49.82875348466746</v>
      </c>
      <c r="E36" s="349">
        <f>'Indiv results ML'!M248</f>
        <v>60.438518518518514</v>
      </c>
    </row>
    <row r="37" spans="1:5" s="219" customFormat="1" ht="12.75">
      <c r="A37" s="220" t="s">
        <v>193</v>
      </c>
      <c r="B37" s="257">
        <v>60.5</v>
      </c>
      <c r="C37" s="351">
        <f>'Indiv results ML'!K249</f>
        <v>174184.229390681</v>
      </c>
      <c r="D37" s="351">
        <f>'Indiv results ML'!L249</f>
        <v>1424.3727598566306</v>
      </c>
      <c r="E37" s="350">
        <f>'Indiv results ML'!M249</f>
        <v>297.3264957264957</v>
      </c>
    </row>
    <row r="38" spans="1:5" s="219" customFormat="1" ht="12.75">
      <c r="A38" s="220" t="s">
        <v>194</v>
      </c>
      <c r="B38" s="257">
        <v>85.2</v>
      </c>
      <c r="C38" s="351">
        <f>'Indiv results ML'!K250</f>
        <v>119995.69892473119</v>
      </c>
      <c r="D38" s="351">
        <f>'Indiv results ML'!L250</f>
        <v>1601.4336917562725</v>
      </c>
      <c r="E38" s="349">
        <f>'Indiv results ML'!M250</f>
        <v>36.86666666666667</v>
      </c>
    </row>
    <row r="39" spans="1:5" s="219" customFormat="1" ht="12.75">
      <c r="A39" s="220" t="s">
        <v>195</v>
      </c>
      <c r="B39" s="257">
        <v>64.6</v>
      </c>
      <c r="C39" s="351">
        <f>'Indiv results ML'!K251</f>
        <v>10982.609318996418</v>
      </c>
      <c r="D39" s="349">
        <f>'Indiv results ML'!L251</f>
        <v>56.44444444444445</v>
      </c>
      <c r="E39" s="350">
        <f>'Indiv results ML'!M251</f>
        <v>248.21880341880342</v>
      </c>
    </row>
    <row r="40" spans="1:5" s="219" customFormat="1" ht="12.75">
      <c r="A40" s="220" t="s">
        <v>196</v>
      </c>
      <c r="B40" s="257">
        <v>58.8</v>
      </c>
      <c r="C40" s="351">
        <f>'Indiv results ML'!K252</f>
        <v>50664.48745519714</v>
      </c>
      <c r="D40" s="349">
        <f>'Indiv results ML'!L252</f>
        <v>83.84229390681004</v>
      </c>
      <c r="E40" s="349">
        <f>'Indiv results ML'!M252</f>
        <v>50.31384615384616</v>
      </c>
    </row>
    <row r="41" spans="1:5" s="219" customFormat="1" ht="12.75">
      <c r="A41" s="220" t="s">
        <v>197</v>
      </c>
      <c r="B41" s="257">
        <v>58.9</v>
      </c>
      <c r="C41" s="351">
        <f>'Indiv results ML'!K253</f>
        <v>24949.63440860215</v>
      </c>
      <c r="D41" s="349">
        <f>'Indiv results ML'!L253</f>
        <v>103.75627240143369</v>
      </c>
      <c r="E41" s="349">
        <f>'Indiv results ML'!M253</f>
        <v>14.531999999999998</v>
      </c>
    </row>
    <row r="42" spans="1:5" s="219" customFormat="1" ht="12.75">
      <c r="A42" s="220" t="s">
        <v>198</v>
      </c>
      <c r="B42" s="257">
        <v>75.4</v>
      </c>
      <c r="C42" s="351">
        <f>'Indiv results ML'!K254</f>
        <v>422147.641577061</v>
      </c>
      <c r="D42" s="349">
        <f>'Indiv results ML'!L254</f>
        <v>68.78853046594982</v>
      </c>
      <c r="E42" s="349">
        <f>'Indiv results ML'!M254</f>
        <v>127.62256410256413</v>
      </c>
    </row>
    <row r="43" spans="1:5" s="219" customFormat="1" ht="12.75">
      <c r="A43" s="220" t="s">
        <v>199</v>
      </c>
      <c r="B43" s="257">
        <v>83.4</v>
      </c>
      <c r="C43" s="351">
        <f>'Indiv results ML'!K255</f>
        <v>39554.26956206191</v>
      </c>
      <c r="D43" s="349">
        <f>'Indiv results ML'!L255</f>
        <v>57.716915907484854</v>
      </c>
      <c r="E43" s="349">
        <f>'Indiv results ML'!M255</f>
        <v>22.069271758436944</v>
      </c>
    </row>
    <row r="44" spans="1:5" s="219" customFormat="1" ht="12.75">
      <c r="A44" s="220" t="s">
        <v>200</v>
      </c>
      <c r="B44" s="257">
        <v>78.2</v>
      </c>
      <c r="C44" s="351">
        <f>'Indiv results ML'!K256</f>
        <v>17525.449301934717</v>
      </c>
      <c r="D44" s="349">
        <f>'Indiv results ML'!L256</f>
        <v>57.583223514582016</v>
      </c>
      <c r="E44" s="349">
        <f>'Indiv results ML'!M256</f>
        <v>65.52397868561279</v>
      </c>
    </row>
    <row r="45" spans="1:5" s="219" customFormat="1" ht="12.75">
      <c r="A45" s="220" t="s">
        <v>201</v>
      </c>
      <c r="B45" s="257">
        <v>55</v>
      </c>
      <c r="C45" s="351">
        <f>'Indiv results ML'!K257</f>
        <v>32296.48745519713</v>
      </c>
      <c r="D45" s="350">
        <f>'Indiv results ML'!L257</f>
        <v>267.8136200716846</v>
      </c>
      <c r="E45" s="349">
        <f>'Indiv results ML'!M257</f>
        <v>52.584</v>
      </c>
    </row>
    <row r="46" spans="1:5" s="219" customFormat="1" ht="12.75">
      <c r="A46" s="220" t="s">
        <v>202</v>
      </c>
      <c r="B46" s="257">
        <v>71.4</v>
      </c>
      <c r="C46" s="351">
        <f>'Indiv results ML'!K258</f>
        <v>57511.77069415283</v>
      </c>
      <c r="D46" s="349">
        <f>'Indiv results ML'!L258</f>
        <v>89.87084049118789</v>
      </c>
      <c r="E46" s="348">
        <f>'Indiv results ML'!M258</f>
        <v>3.106508875739645</v>
      </c>
    </row>
    <row r="47" spans="1:5" s="219" customFormat="1" ht="12.75">
      <c r="A47" s="220" t="s">
        <v>203</v>
      </c>
      <c r="B47" s="257">
        <v>79</v>
      </c>
      <c r="C47" s="351">
        <f>'Indiv results ML'!K259</f>
        <v>39724.931899641575</v>
      </c>
      <c r="D47" s="349">
        <f>'Indiv results ML'!L259</f>
        <v>40.344086021505376</v>
      </c>
      <c r="E47" s="348">
        <f>'Indiv results ML'!M259</f>
        <v>1.5574700854700854</v>
      </c>
    </row>
    <row r="48" spans="1:5" s="219" customFormat="1" ht="12.75">
      <c r="A48" s="220" t="s">
        <v>204</v>
      </c>
      <c r="B48" s="257">
        <v>67</v>
      </c>
      <c r="C48" s="351">
        <f>'Indiv results ML'!K260</f>
        <v>89549.82078853047</v>
      </c>
      <c r="D48" s="351">
        <f>'Indiv results ML'!L260</f>
        <v>1435.1254480286739</v>
      </c>
      <c r="E48" s="350">
        <f>'Indiv results ML'!M260</f>
        <v>281.2444444444445</v>
      </c>
    </row>
    <row r="49" spans="1:5" s="219" customFormat="1" ht="12.75">
      <c r="A49" s="220" t="s">
        <v>205</v>
      </c>
      <c r="B49" s="257">
        <v>81.3</v>
      </c>
      <c r="C49" s="351">
        <f>'Indiv results ML'!K261</f>
        <v>34062.24855533611</v>
      </c>
      <c r="D49" s="349">
        <f>'Indiv results ML'!L261</f>
        <v>129.10540560310145</v>
      </c>
      <c r="E49" s="349">
        <f>'Indiv results ML'!M261</f>
        <v>60.21428571428572</v>
      </c>
    </row>
    <row r="50" spans="1:5" s="219" customFormat="1" ht="12.75">
      <c r="A50" s="220" t="s">
        <v>206</v>
      </c>
      <c r="B50" s="257">
        <v>74.2</v>
      </c>
      <c r="C50" s="351">
        <f>'Indiv results ML'!K262</f>
        <v>35803.424930306646</v>
      </c>
      <c r="D50" s="350">
        <f>'Indiv results ML'!L262</f>
        <v>295.6590999601752</v>
      </c>
      <c r="E50" s="349">
        <f>'Indiv results ML'!M262</f>
        <v>90.2637037037037</v>
      </c>
    </row>
    <row r="51" spans="1:5" s="219" customFormat="1" ht="12.75">
      <c r="A51" s="220" t="s">
        <v>207</v>
      </c>
      <c r="B51" s="257">
        <v>71.9</v>
      </c>
      <c r="C51" s="351">
        <f>'Indiv results ML'!K263</f>
        <v>21202.666666666664</v>
      </c>
      <c r="D51" s="349">
        <f>'Indiv results ML'!L263</f>
        <v>32.774193548387096</v>
      </c>
      <c r="E51" s="349">
        <f>'Indiv results ML'!M263</f>
        <v>44.31466666666667</v>
      </c>
    </row>
    <row r="52" spans="1:5" s="219" customFormat="1" ht="12.75">
      <c r="A52" s="220" t="s">
        <v>208</v>
      </c>
      <c r="B52" s="257">
        <v>112.7</v>
      </c>
      <c r="C52" s="351">
        <f>'Indiv results ML'!K264</f>
        <v>313351.26296366996</v>
      </c>
      <c r="D52" s="349">
        <f>'Indiv results ML'!L264</f>
        <v>28.1096901444296</v>
      </c>
      <c r="E52" s="349">
        <f>'Indiv results ML'!M264</f>
        <v>61.17751479289943</v>
      </c>
    </row>
    <row r="53" spans="1:5" s="219" customFormat="1" ht="12.75">
      <c r="A53" s="221" t="s">
        <v>219</v>
      </c>
      <c r="B53" s="222">
        <v>62</v>
      </c>
      <c r="C53" s="355">
        <f>'Indiv results ML'!K35</f>
        <v>469.8591530054645</v>
      </c>
      <c r="D53" s="353">
        <f>'Indiv results ML'!L35</f>
        <v>5.241666666666667</v>
      </c>
      <c r="E53" s="353">
        <f>'Indiv results ML'!M35</f>
        <v>9.070422535211268</v>
      </c>
    </row>
    <row r="54" spans="1:5" s="219" customFormat="1" ht="12.75">
      <c r="A54" s="221" t="s">
        <v>220</v>
      </c>
      <c r="B54" s="222">
        <v>78</v>
      </c>
      <c r="C54" s="355">
        <f>'Indiv results ML'!K36</f>
        <v>151.7058579234973</v>
      </c>
      <c r="D54" s="353">
        <f>'Indiv results ML'!L36</f>
        <v>6.350666666666666</v>
      </c>
      <c r="E54" s="352">
        <f>'Indiv results ML'!M36</f>
        <v>0.46666666666666673</v>
      </c>
    </row>
    <row r="55" spans="1:5" s="219" customFormat="1" ht="12.75">
      <c r="A55" s="221" t="s">
        <v>221</v>
      </c>
      <c r="B55" s="222">
        <v>90</v>
      </c>
      <c r="C55" s="355">
        <f>'Indiv results ML'!K37</f>
        <v>946.1027322404374</v>
      </c>
      <c r="D55" s="354">
        <f>'Indiv results ML'!L37</f>
        <v>22.933333333333334</v>
      </c>
      <c r="E55" s="354">
        <f>'Indiv results ML'!M37</f>
        <v>28.35492957746479</v>
      </c>
    </row>
    <row r="56" spans="1:5" s="219" customFormat="1" ht="12.75">
      <c r="A56" s="221" t="s">
        <v>222</v>
      </c>
      <c r="B56" s="222">
        <v>92</v>
      </c>
      <c r="C56" s="355">
        <f>'Indiv results ML'!K38</f>
        <v>477.59417122040077</v>
      </c>
      <c r="D56" s="354">
        <f>'Indiv results ML'!L38</f>
        <v>29.688888888888886</v>
      </c>
      <c r="E56" s="352">
        <f>'Indiv results ML'!M38</f>
        <v>0.3888888888888889</v>
      </c>
    </row>
    <row r="57" spans="1:5" s="219" customFormat="1" ht="12.75">
      <c r="A57" s="221" t="s">
        <v>223</v>
      </c>
      <c r="B57" s="222">
        <v>100</v>
      </c>
      <c r="C57" s="355">
        <f>'Indiv results ML'!K39</f>
        <v>273.9570696721311</v>
      </c>
      <c r="D57" s="354">
        <f>'Indiv results ML'!L39</f>
        <v>13.50625</v>
      </c>
      <c r="E57" s="353">
        <f>'Indiv results ML'!M39</f>
        <v>1.0764964788732394</v>
      </c>
    </row>
    <row r="58" spans="1:5" s="219" customFormat="1" ht="12.75">
      <c r="A58" s="221" t="s">
        <v>224</v>
      </c>
      <c r="B58" s="222">
        <v>67</v>
      </c>
      <c r="C58" s="355">
        <f>'Indiv results ML'!K40</f>
        <v>663.248087431694</v>
      </c>
      <c r="D58" s="355">
        <f>'Indiv results ML'!L40</f>
        <v>103.46666666666665</v>
      </c>
      <c r="E58" s="353">
        <f>'Indiv results ML'!M40</f>
        <v>1.9096884336320956</v>
      </c>
    </row>
    <row r="59" spans="1:5" s="219" customFormat="1" ht="12.75">
      <c r="A59" s="221" t="s">
        <v>225</v>
      </c>
      <c r="B59" s="222">
        <v>80</v>
      </c>
      <c r="C59" s="355">
        <f>'Indiv results ML'!K41</f>
        <v>416.0341361916772</v>
      </c>
      <c r="D59" s="353">
        <f>'Indiv results ML'!L41</f>
        <v>3.2976923076923077</v>
      </c>
      <c r="E59" s="354">
        <f>'Indiv results ML'!M41</f>
        <v>31.04809458759245</v>
      </c>
    </row>
    <row r="60" spans="1:5" s="219" customFormat="1" ht="12.75">
      <c r="A60" s="221" t="s">
        <v>226</v>
      </c>
      <c r="B60" s="222">
        <v>74</v>
      </c>
      <c r="C60" s="355">
        <f>'Indiv results ML'!K42</f>
        <v>170.33879781420765</v>
      </c>
      <c r="D60" s="354"/>
      <c r="E60" s="354">
        <f>'Indiv results ML'!M42</f>
        <v>13.468203158344004</v>
      </c>
    </row>
    <row r="61" spans="1:5" s="219" customFormat="1" ht="12.75">
      <c r="A61" s="221" t="s">
        <v>227</v>
      </c>
      <c r="B61" s="222">
        <v>85</v>
      </c>
      <c r="C61" s="354">
        <f>'Indiv results ML'!K43</f>
        <v>47.126775956284156</v>
      </c>
      <c r="D61" s="354">
        <f>'Indiv results ML'!L43</f>
        <v>19.304761904761904</v>
      </c>
      <c r="E61" s="353">
        <f>'Indiv results ML'!M43</f>
        <v>4.7051643192488255</v>
      </c>
    </row>
    <row r="62" spans="1:5" s="219" customFormat="1" ht="12.75">
      <c r="A62" s="221" t="s">
        <v>228</v>
      </c>
      <c r="B62" s="222">
        <v>80</v>
      </c>
      <c r="C62" s="355">
        <f>'Indiv results ML'!K44</f>
        <v>158.3577049180328</v>
      </c>
      <c r="D62" s="353">
        <f>'Indiv results ML'!L44</f>
        <v>9.286666666666667</v>
      </c>
      <c r="E62" s="352">
        <f>'Indiv results ML'!M44</f>
        <v>0.23333333333333336</v>
      </c>
    </row>
    <row r="63" spans="1:5" s="219" customFormat="1" ht="12.75">
      <c r="A63" s="224" t="s">
        <v>229</v>
      </c>
      <c r="B63" s="225">
        <v>87</v>
      </c>
      <c r="C63" s="360">
        <f>'Indiv results ML'!K3</f>
        <v>1422.862912087912</v>
      </c>
      <c r="D63" s="358">
        <f>'Indiv results ML'!L3</f>
        <v>35.775</v>
      </c>
      <c r="E63" s="357">
        <f>'Indiv results ML'!M3</f>
        <v>2.109037558685446</v>
      </c>
    </row>
    <row r="64" spans="1:5" s="219" customFormat="1" ht="12.75">
      <c r="A64" s="224" t="s">
        <v>230</v>
      </c>
      <c r="B64" s="225">
        <v>95</v>
      </c>
      <c r="C64" s="359">
        <f>'Indiv results ML'!K4</f>
        <v>361.3684153005465</v>
      </c>
      <c r="D64" s="358">
        <f>'Indiv results ML'!L4</f>
        <v>12.406666666666666</v>
      </c>
      <c r="E64" s="357">
        <f>'Indiv results ML'!M4</f>
        <v>5.93849765258216</v>
      </c>
    </row>
    <row r="65" spans="1:5" s="219" customFormat="1" ht="12.75">
      <c r="A65" s="224" t="s">
        <v>231</v>
      </c>
      <c r="B65" s="225">
        <v>90</v>
      </c>
      <c r="C65" s="360">
        <f>'Indiv results ML'!K5</f>
        <v>11268.714285714284</v>
      </c>
      <c r="D65" s="359">
        <f>'Indiv results ML'!L5</f>
        <v>166.33333333333334</v>
      </c>
      <c r="E65" s="358">
        <f>'Indiv results ML'!M5</f>
        <v>15.577464788732394</v>
      </c>
    </row>
    <row r="66" spans="1:5" s="219" customFormat="1" ht="12.75">
      <c r="A66" s="224" t="s">
        <v>232</v>
      </c>
      <c r="B66" s="225">
        <v>88</v>
      </c>
      <c r="C66" s="360">
        <f>'Indiv results ML'!K6</f>
        <v>1697.5472527472527</v>
      </c>
      <c r="D66" s="359">
        <f>'Indiv results ML'!L6</f>
        <v>218.13333333333333</v>
      </c>
      <c r="E66" s="357">
        <f>'Indiv results ML'!M6</f>
        <v>1.5938967136150237</v>
      </c>
    </row>
    <row r="67" spans="1:5" s="219" customFormat="1" ht="12.75">
      <c r="A67" s="224" t="s">
        <v>233</v>
      </c>
      <c r="B67" s="225">
        <v>85</v>
      </c>
      <c r="C67" s="359">
        <f>'Indiv results ML'!K7</f>
        <v>173.23234972677596</v>
      </c>
      <c r="D67" s="358">
        <f>'Indiv results ML'!L7</f>
        <v>34.10666666666666</v>
      </c>
      <c r="E67" s="357">
        <f>'Indiv results ML'!M7</f>
        <v>3.3705164319248833</v>
      </c>
    </row>
    <row r="68" spans="1:5" s="219" customFormat="1" ht="12.75">
      <c r="A68" s="224" t="s">
        <v>234</v>
      </c>
      <c r="B68" s="225">
        <v>87</v>
      </c>
      <c r="C68" s="360">
        <f>'Indiv results ML'!K8</f>
        <v>1738.5556284153006</v>
      </c>
      <c r="D68" s="357">
        <f>'Indiv results ML'!L8</f>
        <v>7.626666666666666</v>
      </c>
      <c r="E68" s="358">
        <f>'Indiv results ML'!M8</f>
        <v>46.87699530516432</v>
      </c>
    </row>
    <row r="69" spans="1:5" s="219" customFormat="1" ht="12.75">
      <c r="A69" s="224" t="s">
        <v>235</v>
      </c>
      <c r="B69" s="225">
        <v>67</v>
      </c>
      <c r="C69" s="359">
        <f>'Indiv results ML'!K9</f>
        <v>187.82076502732238</v>
      </c>
      <c r="D69" s="358">
        <f>'Indiv results ML'!L9</f>
        <v>50.84444444444444</v>
      </c>
      <c r="E69" s="357">
        <f>'Indiv results ML'!M9</f>
        <v>1.3156494522691706</v>
      </c>
    </row>
    <row r="70" spans="1:5" s="219" customFormat="1" ht="12.75">
      <c r="A70" s="224" t="s">
        <v>236</v>
      </c>
      <c r="B70" s="225">
        <v>83</v>
      </c>
      <c r="C70" s="359">
        <f>'Indiv results ML'!K10</f>
        <v>157.2922131147541</v>
      </c>
      <c r="D70" s="358">
        <f>'Indiv results ML'!L10</f>
        <v>38.65833333333334</v>
      </c>
      <c r="E70" s="357">
        <f>'Indiv results ML'!M10</f>
        <v>7.872385830132309</v>
      </c>
    </row>
    <row r="71" spans="1:5" s="219" customFormat="1" ht="12.75">
      <c r="A71" s="224" t="s">
        <v>237</v>
      </c>
      <c r="B71" s="225">
        <v>74</v>
      </c>
      <c r="C71" s="360">
        <f>'Indiv results ML'!K11</f>
        <v>2692.633661202186</v>
      </c>
      <c r="D71" s="358">
        <f>'Indiv results ML'!L11</f>
        <v>16.786666666666665</v>
      </c>
      <c r="E71" s="358">
        <f>'Indiv results ML'!M11</f>
        <v>10.95286384976526</v>
      </c>
    </row>
    <row r="72" spans="1:5" s="219" customFormat="1" ht="12.75">
      <c r="A72" s="224" t="s">
        <v>238</v>
      </c>
      <c r="B72" s="225">
        <v>83</v>
      </c>
      <c r="C72" s="359">
        <f>'Indiv results ML'!K12</f>
        <v>534.2285519125684</v>
      </c>
      <c r="D72" s="358">
        <f>'Indiv results ML'!L12</f>
        <v>18.108333333333334</v>
      </c>
      <c r="E72" s="357">
        <f>'Indiv results ML'!M12</f>
        <v>6.7445582586427655</v>
      </c>
    </row>
    <row r="73" spans="1:9" s="219" customFormat="1" ht="12.75">
      <c r="A73" s="221" t="s">
        <v>260</v>
      </c>
      <c r="B73" s="227">
        <v>78</v>
      </c>
      <c r="C73" s="227">
        <f>'Indiv results ML'!K45</f>
        <v>13969.513435003631</v>
      </c>
      <c r="D73" s="355">
        <f>'Indiv results ML'!L45</f>
        <v>443.0065359477124</v>
      </c>
      <c r="E73" s="355">
        <f>'Indiv results ML'!M45</f>
        <v>411.1394607357699</v>
      </c>
      <c r="G73" s="226"/>
      <c r="H73" s="226"/>
      <c r="I73" s="226"/>
    </row>
    <row r="74" spans="1:9" s="219" customFormat="1" ht="12.75">
      <c r="A74" s="221" t="s">
        <v>261</v>
      </c>
      <c r="B74" s="227">
        <v>58</v>
      </c>
      <c r="C74" s="227">
        <f>'Indiv results ML'!K46</f>
        <v>6457.140027728263</v>
      </c>
      <c r="D74" s="355">
        <f>'Indiv results ML'!L46</f>
        <v>190.5525846702317</v>
      </c>
      <c r="E74" s="355">
        <f>'Indiv results ML'!M46</f>
        <v>171.62718995892817</v>
      </c>
      <c r="G74" s="226"/>
      <c r="H74" s="226"/>
      <c r="I74" s="226"/>
    </row>
    <row r="75" spans="1:9" s="219" customFormat="1" ht="12.75">
      <c r="A75" s="221" t="s">
        <v>262</v>
      </c>
      <c r="B75" s="227">
        <v>95</v>
      </c>
      <c r="C75" s="227">
        <f>'Indiv results ML'!K47</f>
        <v>12213.747276688453</v>
      </c>
      <c r="D75" s="355">
        <f>'Indiv results ML'!L47</f>
        <v>819.4117647058824</v>
      </c>
      <c r="E75" s="355">
        <f>'Indiv results ML'!M47</f>
        <v>218.7579675833181</v>
      </c>
      <c r="G75" s="226"/>
      <c r="H75" s="228"/>
      <c r="I75" s="226"/>
    </row>
    <row r="76" spans="1:9" s="219" customFormat="1" ht="12.75">
      <c r="A76" s="221" t="s">
        <v>263</v>
      </c>
      <c r="B76" s="227">
        <v>78</v>
      </c>
      <c r="C76" s="227">
        <f>'Indiv results ML'!K48</f>
        <v>14031.828431372549</v>
      </c>
      <c r="D76" s="354">
        <f>'Indiv results ML'!L48</f>
        <v>41.63235294117648</v>
      </c>
      <c r="E76" s="354">
        <f>'Indiv results ML'!M48</f>
        <v>77.33475290568717</v>
      </c>
      <c r="G76" s="226"/>
      <c r="H76" s="228"/>
      <c r="I76" s="226"/>
    </row>
    <row r="77" spans="1:9" s="219" customFormat="1" ht="12.75">
      <c r="A77" s="221" t="s">
        <v>264</v>
      </c>
      <c r="B77" s="227">
        <v>93</v>
      </c>
      <c r="C77" s="227">
        <f>'Indiv results ML'!K49</f>
        <v>3185.0947712418306</v>
      </c>
      <c r="D77" s="354">
        <f>'Indiv results ML'!L49</f>
        <v>90.32352941176471</v>
      </c>
      <c r="E77" s="355">
        <f>'Indiv results ML'!M49</f>
        <v>197.34110362411224</v>
      </c>
      <c r="G77" s="226"/>
      <c r="H77" s="228"/>
      <c r="I77" s="226"/>
    </row>
    <row r="78" spans="1:9" s="219" customFormat="1" ht="12.75">
      <c r="A78" s="221" t="s">
        <v>265</v>
      </c>
      <c r="B78" s="227">
        <v>78</v>
      </c>
      <c r="C78" s="227">
        <f>'Indiv results ML'!K50</f>
        <v>8563.802733214497</v>
      </c>
      <c r="D78" s="354">
        <f>'Indiv results ML'!L50</f>
        <v>97.96791443850267</v>
      </c>
      <c r="E78" s="354">
        <f>'Indiv results ML'!M50</f>
        <v>47.30252810383935</v>
      </c>
      <c r="G78" s="226"/>
      <c r="H78" s="226"/>
      <c r="I78" s="226"/>
    </row>
    <row r="79" spans="1:9" s="219" customFormat="1" ht="12.75">
      <c r="A79" s="221" t="s">
        <v>266</v>
      </c>
      <c r="B79" s="227">
        <v>105</v>
      </c>
      <c r="C79" s="227">
        <f>'Indiv results ML'!K51</f>
        <v>6134.477124183007</v>
      </c>
      <c r="D79" s="355">
        <f>'Indiv results ML'!L51</f>
        <v>400.6684491978609</v>
      </c>
      <c r="E79" s="355">
        <f>'Indiv results ML'!M51</f>
        <v>296.07762479734794</v>
      </c>
      <c r="G79" s="226"/>
      <c r="H79" s="226"/>
      <c r="I79" s="226"/>
    </row>
    <row r="80" spans="1:9" s="219" customFormat="1" ht="12.75">
      <c r="A80" s="221" t="s">
        <v>267</v>
      </c>
      <c r="B80" s="227">
        <v>72</v>
      </c>
      <c r="C80" s="227">
        <f>'Indiv results ML'!K52</f>
        <v>11527.9593318809</v>
      </c>
      <c r="D80" s="355">
        <f>'Indiv results ML'!L52</f>
        <v>287.58169934640523</v>
      </c>
      <c r="E80" s="355">
        <f>'Indiv results ML'!M52</f>
        <v>514.9112689451425</v>
      </c>
      <c r="G80" s="226"/>
      <c r="H80" s="226"/>
      <c r="I80" s="226"/>
    </row>
    <row r="81" spans="1:9" s="219" customFormat="1" ht="12.75">
      <c r="A81" s="221" t="s">
        <v>268</v>
      </c>
      <c r="B81" s="227">
        <v>71</v>
      </c>
      <c r="C81" s="227">
        <f>'Indiv results ML'!K53</f>
        <v>9602.14705882353</v>
      </c>
      <c r="D81" s="354">
        <f>'Indiv results ML'!L53</f>
        <v>13.911764705882353</v>
      </c>
      <c r="E81" s="355">
        <f>'Indiv results ML'!M53</f>
        <v>104.38825303877209</v>
      </c>
      <c r="G81" s="226"/>
      <c r="H81" s="228"/>
      <c r="I81" s="226"/>
    </row>
    <row r="82" spans="1:9" s="219" customFormat="1" ht="12.75">
      <c r="A82" s="221" t="s">
        <v>269</v>
      </c>
      <c r="B82" s="227">
        <v>81</v>
      </c>
      <c r="C82" s="227">
        <f>'Indiv results ML'!K54</f>
        <v>16111.683611716295</v>
      </c>
      <c r="D82" s="354">
        <f>'Indiv results ML'!L54</f>
        <v>38.09368191721133</v>
      </c>
      <c r="E82" s="355">
        <f>'Indiv results ML'!M54</f>
        <v>367.90693038290124</v>
      </c>
      <c r="G82" s="226"/>
      <c r="H82" s="226"/>
      <c r="I82" s="226"/>
    </row>
    <row r="83" spans="1:10" s="219" customFormat="1" ht="12.75">
      <c r="A83" s="224" t="s">
        <v>270</v>
      </c>
      <c r="B83" s="225">
        <v>82.5</v>
      </c>
      <c r="C83" s="360">
        <f>'Indiv results ML'!K99</f>
        <v>28736.032047227494</v>
      </c>
      <c r="D83" s="360">
        <f>'Indiv results ML'!L99</f>
        <v>2363.4830276196503</v>
      </c>
      <c r="E83" s="359">
        <f>'Indiv results ML'!M99</f>
        <v>153.13864810675588</v>
      </c>
      <c r="H83" s="224"/>
      <c r="I83" s="228"/>
      <c r="J83" s="226"/>
    </row>
    <row r="84" spans="1:10" s="219" customFormat="1" ht="12.75">
      <c r="A84" s="224" t="s">
        <v>271</v>
      </c>
      <c r="B84" s="225">
        <v>80.2</v>
      </c>
      <c r="C84" s="360">
        <f>'Indiv results ML'!K100</f>
        <v>23554.290533417665</v>
      </c>
      <c r="D84" s="360">
        <f>'Indiv results ML'!L100</f>
        <v>1135.989879822897</v>
      </c>
      <c r="E84" s="359">
        <f>'Indiv results ML'!M100</f>
        <v>900.0625826318691</v>
      </c>
      <c r="H84" s="224"/>
      <c r="I84" s="228"/>
      <c r="J84" s="226"/>
    </row>
    <row r="85" spans="1:10" s="219" customFormat="1" ht="12.75">
      <c r="A85" s="224" t="s">
        <v>272</v>
      </c>
      <c r="B85" s="225">
        <v>88.6</v>
      </c>
      <c r="C85" s="360">
        <f>'Indiv results ML'!K101</f>
        <v>14341.587602783049</v>
      </c>
      <c r="D85" s="358">
        <f>'Indiv results ML'!L101</f>
        <v>91.58760278304872</v>
      </c>
      <c r="E85" s="359">
        <f>'Indiv results ML'!M101</f>
        <v>401.17225659394336</v>
      </c>
      <c r="H85" s="224"/>
      <c r="I85" s="228"/>
      <c r="J85" s="226"/>
    </row>
    <row r="86" spans="1:10" s="219" customFormat="1" ht="12.75">
      <c r="A86" s="224" t="s">
        <v>273</v>
      </c>
      <c r="B86" s="225">
        <v>72</v>
      </c>
      <c r="C86" s="360">
        <f>'Indiv results ML'!K102</f>
        <v>23148.180093151626</v>
      </c>
      <c r="D86" s="360">
        <f>'Indiv results ML'!L102</f>
        <v>2167.787936288885</v>
      </c>
      <c r="E86" s="359">
        <f>'Indiv results ML'!M102</f>
        <v>329.75956434496476</v>
      </c>
      <c r="H86" s="224"/>
      <c r="I86" s="228"/>
      <c r="J86" s="226"/>
    </row>
    <row r="87" spans="1:10" s="219" customFormat="1" ht="12.75">
      <c r="A87" s="224" t="s">
        <v>274</v>
      </c>
      <c r="B87" s="225">
        <v>97.8</v>
      </c>
      <c r="C87" s="360">
        <f>'Indiv results ML'!K103</f>
        <v>13861.171533916477</v>
      </c>
      <c r="D87" s="360">
        <f>'Indiv results ML'!L103</f>
        <v>1429.3207448203514</v>
      </c>
      <c r="E87" s="359">
        <f>'Indiv results ML'!M103</f>
        <v>215.7438937961315</v>
      </c>
      <c r="H87" s="224"/>
      <c r="I87" s="228"/>
      <c r="J87" s="226"/>
    </row>
    <row r="88" spans="1:10" s="219" customFormat="1" ht="12.75">
      <c r="A88" s="224" t="s">
        <v>275</v>
      </c>
      <c r="B88" s="225">
        <v>77.5</v>
      </c>
      <c r="C88" s="360">
        <f>'Indiv results ML'!K104</f>
        <v>7179.996837444655</v>
      </c>
      <c r="D88" s="358">
        <f>'Indiv results ML'!L104</f>
        <v>18.23213156230234</v>
      </c>
      <c r="E88" s="359">
        <f>'Indiv results ML'!M104</f>
        <v>114.15308291991498</v>
      </c>
      <c r="H88" s="224"/>
      <c r="I88" s="228"/>
      <c r="J88" s="226"/>
    </row>
    <row r="89" spans="1:10" s="219" customFormat="1" ht="12.75">
      <c r="A89" s="224" t="s">
        <v>276</v>
      </c>
      <c r="B89" s="225">
        <v>102</v>
      </c>
      <c r="C89" s="359">
        <f>'Indiv results ML'!K105</f>
        <v>860.6736242884251</v>
      </c>
      <c r="D89" s="358">
        <f>'Indiv results ML'!L105</f>
        <v>16.555977229601517</v>
      </c>
      <c r="E89" s="359">
        <f>'Indiv results ML'!M105</f>
        <v>210.22324592487598</v>
      </c>
      <c r="H89" s="224"/>
      <c r="I89" s="228"/>
      <c r="J89" s="226"/>
    </row>
    <row r="90" spans="1:10" s="219" customFormat="1" ht="12.75">
      <c r="A90" s="224" t="s">
        <v>277</v>
      </c>
      <c r="B90" s="225">
        <v>80.2</v>
      </c>
      <c r="C90" s="360">
        <f>'Indiv results ML'!K106</f>
        <v>10937.938013915244</v>
      </c>
      <c r="D90" s="359">
        <f>'Indiv results ML'!L106</f>
        <v>281.46742567994943</v>
      </c>
      <c r="E90" s="359">
        <f>'Indiv results ML'!M106</f>
        <v>463.09311852863397</v>
      </c>
      <c r="H90" s="224"/>
      <c r="I90" s="228"/>
      <c r="J90" s="226"/>
    </row>
    <row r="91" spans="1:10" s="219" customFormat="1" ht="12.75">
      <c r="A91" s="224" t="s">
        <v>278</v>
      </c>
      <c r="B91" s="225">
        <v>79</v>
      </c>
      <c r="C91" s="360">
        <f>'Indiv results ML'!K107</f>
        <v>8730.400782013687</v>
      </c>
      <c r="D91" s="359">
        <f>'Indiv results ML'!L107</f>
        <v>148.58260019550343</v>
      </c>
      <c r="E91" s="359">
        <f>'Indiv results ML'!M107</f>
        <v>305.50866567875784</v>
      </c>
      <c r="H91" s="224"/>
      <c r="I91" s="228"/>
      <c r="J91" s="226"/>
    </row>
    <row r="92" spans="1:10" s="219" customFormat="1" ht="12.75">
      <c r="A92" s="224" t="s">
        <v>279</v>
      </c>
      <c r="B92" s="225">
        <v>79</v>
      </c>
      <c r="C92" s="360">
        <f>'Indiv results ML'!K108</f>
        <v>8460.468058191018</v>
      </c>
      <c r="D92" s="359">
        <f>'Indiv results ML'!L108</f>
        <v>136.28505165507062</v>
      </c>
      <c r="E92" s="359">
        <f>'Indiv results ML'!M108</f>
        <v>543.2172446234888</v>
      </c>
      <c r="H92" s="224"/>
      <c r="I92" s="228"/>
      <c r="J92" s="226"/>
    </row>
    <row r="93" spans="1:5" s="219" customFormat="1" ht="12.75">
      <c r="A93" s="221" t="s">
        <v>280</v>
      </c>
      <c r="B93" s="222">
        <v>99</v>
      </c>
      <c r="C93" s="227">
        <f>'Indiv results ML'!K75</f>
        <v>2486.82769726248</v>
      </c>
      <c r="D93" s="353">
        <f>'Indiv results ML'!L75</f>
        <v>8.88888888888889</v>
      </c>
      <c r="E93" s="352"/>
    </row>
    <row r="94" spans="1:5" s="219" customFormat="1" ht="12.75">
      <c r="A94" s="221" t="s">
        <v>281</v>
      </c>
      <c r="B94" s="222">
        <v>92</v>
      </c>
      <c r="C94" s="227">
        <f>'Indiv results ML'!K77</f>
        <v>2198.8064791133847</v>
      </c>
      <c r="D94" s="353">
        <f>'Indiv results ML'!L77</f>
        <v>7.8431372549019605</v>
      </c>
      <c r="E94" s="227"/>
    </row>
    <row r="95" spans="1:5" s="219" customFormat="1" ht="12.75">
      <c r="A95" s="221" t="s">
        <v>282</v>
      </c>
      <c r="B95" s="222">
        <v>80</v>
      </c>
      <c r="C95" s="355">
        <f>'Indiv results ML'!K79</f>
        <v>176.7325854282376</v>
      </c>
      <c r="D95" s="354">
        <f>'Indiv results ML'!L79</f>
        <v>22.561022561022558</v>
      </c>
      <c r="E95" s="355"/>
    </row>
    <row r="96" spans="1:5" s="219" customFormat="1" ht="12.75">
      <c r="A96" s="221" t="s">
        <v>283</v>
      </c>
      <c r="B96" s="222">
        <v>125</v>
      </c>
      <c r="C96" s="354">
        <f>'Indiv results ML'!K81</f>
        <v>10.711111111111114</v>
      </c>
      <c r="D96" s="607"/>
      <c r="E96" s="354"/>
    </row>
    <row r="97" spans="1:5" s="219" customFormat="1" ht="12.75">
      <c r="A97" s="221" t="s">
        <v>284</v>
      </c>
      <c r="B97" s="222">
        <v>85</v>
      </c>
      <c r="C97" s="355">
        <f>'Indiv results ML'!K83</f>
        <v>319.2459714198845</v>
      </c>
      <c r="D97" s="354">
        <f>'Indiv results ML'!L83</f>
        <v>10.360010360010358</v>
      </c>
      <c r="E97" s="355"/>
    </row>
    <row r="98" spans="1:5" s="219" customFormat="1" ht="12.75">
      <c r="A98" s="221" t="s">
        <v>285</v>
      </c>
      <c r="B98" s="222">
        <v>75</v>
      </c>
      <c r="C98" s="227">
        <f>'Indiv results ML'!K85</f>
        <v>21822.730845359634</v>
      </c>
      <c r="D98" s="354">
        <f>'Indiv results ML'!L85</f>
        <v>22.056796250344636</v>
      </c>
      <c r="E98" s="227"/>
    </row>
    <row r="99" spans="1:5" s="219" customFormat="1" ht="12.75">
      <c r="A99" s="221" t="s">
        <v>286</v>
      </c>
      <c r="B99" s="222">
        <v>82</v>
      </c>
      <c r="C99" s="227">
        <f>'Indiv results ML'!K87</f>
        <v>5635.220473643124</v>
      </c>
      <c r="D99" s="354">
        <f>'Indiv results ML'!L87</f>
        <v>56.821042867554496</v>
      </c>
      <c r="E99" s="227"/>
    </row>
    <row r="100" spans="1:5" s="219" customFormat="1" ht="12.75">
      <c r="A100" s="221" t="s">
        <v>287</v>
      </c>
      <c r="B100" s="222">
        <v>95</v>
      </c>
      <c r="C100" s="227">
        <f>'Indiv results ML'!K89</f>
        <v>4074.661194476508</v>
      </c>
      <c r="D100" s="353">
        <f>'Indiv results ML'!L89</f>
        <v>4.71976401179941</v>
      </c>
      <c r="E100" s="227"/>
    </row>
    <row r="101" spans="1:5" s="219" customFormat="1" ht="12.75">
      <c r="A101" s="221" t="s">
        <v>288</v>
      </c>
      <c r="B101" s="222">
        <v>90</v>
      </c>
      <c r="C101" s="355">
        <f>'Indiv results ML'!K91</f>
        <v>285.21739130434787</v>
      </c>
      <c r="D101" s="353">
        <f>'Indiv results ML'!L91</f>
        <v>3.3333333333333335</v>
      </c>
      <c r="E101" s="355"/>
    </row>
    <row r="102" spans="1:5" s="219" customFormat="1" ht="12.75">
      <c r="A102" s="221" t="s">
        <v>289</v>
      </c>
      <c r="B102" s="222">
        <v>97</v>
      </c>
      <c r="C102" s="355">
        <f>'Indiv results ML'!K93</f>
        <v>829.3186739963353</v>
      </c>
      <c r="D102" s="353">
        <f>'Indiv results ML'!L93</f>
        <v>3.0651340996168583</v>
      </c>
      <c r="E102" s="355"/>
    </row>
    <row r="103" spans="1:5" s="219" customFormat="1" ht="12.75">
      <c r="A103" s="221" t="s">
        <v>290</v>
      </c>
      <c r="B103" s="222">
        <v>87</v>
      </c>
      <c r="C103" s="355">
        <f>'Indiv results ML'!K95</f>
        <v>408.16968241717404</v>
      </c>
      <c r="D103" s="354">
        <f>'Indiv results ML'!L95</f>
        <v>13.149243918474687</v>
      </c>
      <c r="E103" s="355"/>
    </row>
    <row r="104" spans="1:5" s="219" customFormat="1" ht="12.75">
      <c r="A104" s="221" t="s">
        <v>291</v>
      </c>
      <c r="B104" s="222">
        <v>76</v>
      </c>
      <c r="C104" s="227">
        <f>'Indiv results ML'!K97</f>
        <v>1288.050114137071</v>
      </c>
      <c r="D104" s="354">
        <f>'Indiv results ML'!L97</f>
        <v>24.42002442002442</v>
      </c>
      <c r="E104" s="227"/>
    </row>
    <row r="105" spans="1:5" s="219" customFormat="1" ht="12.75">
      <c r="A105" s="225" t="s">
        <v>319</v>
      </c>
      <c r="B105" s="225">
        <v>102</v>
      </c>
      <c r="C105" s="359">
        <f>'Indiv results ML'!K131</f>
        <v>262.2685343182237</v>
      </c>
      <c r="D105" s="357">
        <f>'Indiv results ML'!L131</f>
        <v>8.209274047783364</v>
      </c>
      <c r="E105" s="361">
        <f>'Indiv results ML'!M131</f>
        <v>0.03450655624568668</v>
      </c>
    </row>
    <row r="106" spans="1:5" s="219" customFormat="1" ht="12.75">
      <c r="A106" s="225" t="s">
        <v>320</v>
      </c>
      <c r="B106" s="225">
        <v>92</v>
      </c>
      <c r="C106" s="359">
        <f>'Indiv results ML'!K134</f>
        <v>680.875298614429</v>
      </c>
      <c r="D106" s="358">
        <f>'Indiv results ML'!L134</f>
        <v>15.801242236024844</v>
      </c>
      <c r="E106" s="361">
        <f>'Indiv results ML'!M134</f>
        <v>0.09420289855072465</v>
      </c>
    </row>
    <row r="107" spans="1:5" s="219" customFormat="1" ht="12.75">
      <c r="A107" s="225" t="s">
        <v>321</v>
      </c>
      <c r="B107" s="225">
        <v>94</v>
      </c>
      <c r="C107" s="359">
        <f>'Indiv results ML'!K137</f>
        <v>478.5343940623443</v>
      </c>
      <c r="D107" s="357">
        <f>'Indiv results ML'!L137</f>
        <v>9.346347234545991</v>
      </c>
      <c r="E107" s="361">
        <f>'Indiv results ML'!M137</f>
        <v>0.03450655624568668</v>
      </c>
    </row>
    <row r="108" spans="1:5" s="219" customFormat="1" ht="12.75">
      <c r="A108" s="225" t="s">
        <v>322</v>
      </c>
      <c r="B108" s="225">
        <v>65</v>
      </c>
      <c r="C108" s="358">
        <f>'Indiv results ML'!K140</f>
        <v>76.71680468705988</v>
      </c>
      <c r="D108" s="357">
        <f>'Indiv results ML'!L140</f>
        <v>3.3406568644020056</v>
      </c>
      <c r="E108" s="361">
        <f>'Indiv results ML'!M140</f>
        <v>0.029575798546560762</v>
      </c>
    </row>
    <row r="109" spans="1:5" s="219" customFormat="1" ht="12.75">
      <c r="A109" s="225" t="s">
        <v>323</v>
      </c>
      <c r="B109" s="225">
        <v>80</v>
      </c>
      <c r="C109" s="360">
        <f>'Indiv results ML'!K143</f>
        <v>1246.0793108080586</v>
      </c>
      <c r="D109" s="359">
        <f>'Indiv results ML'!L143</f>
        <v>199.87606332037635</v>
      </c>
      <c r="E109" s="356">
        <f>'Indiv results ML'!M143</f>
        <v>0.12405404390362984</v>
      </c>
    </row>
    <row r="110" spans="1:5" s="219" customFormat="1" ht="12.75">
      <c r="A110" s="225" t="s">
        <v>324</v>
      </c>
      <c r="B110" s="225">
        <v>86</v>
      </c>
      <c r="C110" s="360">
        <f>'Indiv results ML'!K146</f>
        <v>2056.3082171522565</v>
      </c>
      <c r="D110" s="358">
        <f>'Indiv results ML'!L146</f>
        <v>19.678596076111603</v>
      </c>
      <c r="E110" s="361">
        <f>'Indiv results ML'!M146</f>
        <v>0.03450655624568668</v>
      </c>
    </row>
    <row r="111" spans="1:5" s="219" customFormat="1" ht="12.75">
      <c r="A111" s="225" t="s">
        <v>325</v>
      </c>
      <c r="B111" s="225">
        <v>79</v>
      </c>
      <c r="C111" s="359">
        <f>'Indiv results ML'!K149</f>
        <v>782.0892013438598</v>
      </c>
      <c r="D111" s="358">
        <f>'Indiv results ML'!L149</f>
        <v>40.76703145026127</v>
      </c>
      <c r="E111" s="361">
        <f>'Indiv results ML'!M149</f>
        <v>0.025879917184265015</v>
      </c>
    </row>
    <row r="112" spans="1:5" s="219" customFormat="1" ht="12.75">
      <c r="A112" s="225" t="s">
        <v>326</v>
      </c>
      <c r="B112" s="225">
        <v>95</v>
      </c>
      <c r="C112" s="360">
        <f>'Indiv results ML'!K152</f>
        <v>1990.565056675837</v>
      </c>
      <c r="D112" s="359">
        <f>'Indiv results ML'!L152</f>
        <v>513.0631962930099</v>
      </c>
      <c r="E112" s="361">
        <f>'Indiv results ML'!M152</f>
        <v>0.03450655624568668</v>
      </c>
    </row>
    <row r="113" spans="1:5" s="219" customFormat="1" ht="12.75">
      <c r="A113" s="225" t="s">
        <v>327</v>
      </c>
      <c r="B113" s="225">
        <v>98</v>
      </c>
      <c r="C113" s="360">
        <f>'Indiv results ML'!K155</f>
        <v>1510.1896307460847</v>
      </c>
      <c r="D113" s="358">
        <f>'Indiv results ML'!L155</f>
        <v>10.066055407670314</v>
      </c>
      <c r="E113" s="356">
        <f>'Indiv results ML'!M155</f>
        <v>0.10855187485622268</v>
      </c>
    </row>
    <row r="114" spans="1:5" s="219" customFormat="1" ht="12.75">
      <c r="A114" s="225" t="s">
        <v>328</v>
      </c>
      <c r="B114" s="225">
        <v>98</v>
      </c>
      <c r="C114" s="359">
        <f>'Indiv results ML'!K158</f>
        <v>946.0312404411783</v>
      </c>
      <c r="D114" s="358">
        <f>'Indiv results ML'!L158</f>
        <v>10.562292549870188</v>
      </c>
      <c r="E114" s="361">
        <f>'Indiv results ML'!M158</f>
        <v>0.03450655624568668</v>
      </c>
    </row>
    <row r="115" spans="1:5" s="219" customFormat="1" ht="12.75">
      <c r="A115" s="225" t="s">
        <v>329</v>
      </c>
      <c r="B115" s="225">
        <v>93</v>
      </c>
      <c r="C115" s="359">
        <f>'Indiv results ML'!K161</f>
        <v>359.69172556547915</v>
      </c>
      <c r="D115" s="356">
        <f>'Indiv results ML'!L161</f>
        <v>0.34035641184534204</v>
      </c>
      <c r="E115" s="361">
        <f>'Indiv results ML'!M161</f>
        <v>0.029575798546560762</v>
      </c>
    </row>
    <row r="116" spans="1:5" s="219" customFormat="1" ht="12.75">
      <c r="A116" s="225" t="s">
        <v>330</v>
      </c>
      <c r="B116" s="225">
        <v>86</v>
      </c>
      <c r="C116" s="358">
        <f>'Indiv results ML'!K164</f>
        <v>75.30164797245543</v>
      </c>
      <c r="D116" s="357">
        <f>'Indiv results ML'!L164</f>
        <v>6.579250057510927</v>
      </c>
      <c r="E116" s="361">
        <f>'Indiv results ML'!M164</f>
        <v>0.03450655624568668</v>
      </c>
    </row>
    <row r="117" spans="1:5" s="219" customFormat="1" ht="12.75">
      <c r="A117" s="224"/>
      <c r="B117" s="224"/>
      <c r="C117" s="226"/>
      <c r="D117" s="226"/>
      <c r="E117" s="226"/>
    </row>
    <row r="118" spans="1:2" s="230" customFormat="1" ht="12.75">
      <c r="A118" s="229" t="s">
        <v>292</v>
      </c>
      <c r="B118" s="229"/>
    </row>
    <row r="119" spans="1:2" s="230" customFormat="1" ht="12.75">
      <c r="A119" s="235" t="s">
        <v>615</v>
      </c>
      <c r="B119" s="229"/>
    </row>
    <row r="120" spans="1:5" s="230" customFormat="1" ht="12.75">
      <c r="A120" s="231" t="s">
        <v>293</v>
      </c>
      <c r="B120" s="259">
        <f>PERCENTILE((B3:B32,B53:B72),0.75)</f>
        <v>86.5</v>
      </c>
      <c r="C120" s="259">
        <f>PERCENTILE((C3:C32,C53:C72),0.75)</f>
        <v>2295.1175335732805</v>
      </c>
      <c r="D120" s="384">
        <f>PERCENTILE((D3:D32,D53:D72),0.75)</f>
        <v>29.688888888888886</v>
      </c>
      <c r="E120" s="384">
        <f>PERCENTILE((E3:E32,E53:E72),0.75)</f>
        <v>13.343799427581532</v>
      </c>
    </row>
    <row r="121" spans="1:5" s="230" customFormat="1" ht="12.75">
      <c r="A121" s="232" t="s">
        <v>294</v>
      </c>
      <c r="B121" s="259">
        <f>GEOMEAN(B3:B32,B53:B72)</f>
        <v>80.01604192398773</v>
      </c>
      <c r="C121" s="382">
        <f>GEOMEAN(C3:C32,C53:C72)</f>
        <v>988.9641816216152</v>
      </c>
      <c r="D121" s="383">
        <f>GEOMEAN(D3:D32,D53:D72)</f>
        <v>8.094319043618851</v>
      </c>
      <c r="E121" s="383">
        <f>GEOMEAN(E3:E32,E53:E72)</f>
        <v>3.829555555399106</v>
      </c>
    </row>
    <row r="122" spans="1:5" s="230" customFormat="1" ht="12.75">
      <c r="A122" s="233" t="s">
        <v>346</v>
      </c>
      <c r="B122" s="261">
        <f>COUNT(B3:B32,B53:B72)</f>
        <v>50</v>
      </c>
      <c r="C122" s="478">
        <f>COUNT(C3:C32,C53:C72)</f>
        <v>50</v>
      </c>
      <c r="D122" s="478">
        <f>COUNT(D3:D32,D53:D72)</f>
        <v>49</v>
      </c>
      <c r="E122" s="478">
        <f>COUNT(E3:E32,E53:E72)</f>
        <v>50</v>
      </c>
    </row>
    <row r="123" spans="1:5" s="230" customFormat="1" ht="12.75">
      <c r="A123" s="234"/>
      <c r="B123" s="234"/>
      <c r="C123" s="480"/>
      <c r="D123" s="480"/>
      <c r="E123" s="480"/>
    </row>
    <row r="124" spans="1:5" s="230" customFormat="1" ht="12.75">
      <c r="A124" s="229" t="s">
        <v>295</v>
      </c>
      <c r="B124" s="229"/>
      <c r="C124" s="480"/>
      <c r="D124" s="480"/>
      <c r="E124" s="480"/>
    </row>
    <row r="125" spans="1:5" s="230" customFormat="1" ht="12.75">
      <c r="A125" s="235" t="s">
        <v>616</v>
      </c>
      <c r="B125" s="229"/>
      <c r="C125" s="480"/>
      <c r="D125" s="480"/>
      <c r="E125" s="480"/>
    </row>
    <row r="126" spans="1:5" s="230" customFormat="1" ht="12.75">
      <c r="A126" s="231" t="s">
        <v>293</v>
      </c>
      <c r="B126" s="259">
        <f>PERCENTILE((B33:B52,B73:B92),0.75)</f>
        <v>82.5</v>
      </c>
      <c r="C126" s="259">
        <f>PERCENTILE((C33:C52,C73:C92),0.75)</f>
        <v>38635.616374983816</v>
      </c>
      <c r="D126" s="382">
        <f>PERCENTILE((D33:D52,D73:D92),0.75)</f>
        <v>321.9114372695966</v>
      </c>
      <c r="E126" s="382">
        <f>PERCENTILE((E33:E52,E73:E92),0.75)</f>
        <v>296.38984252963485</v>
      </c>
    </row>
    <row r="127" spans="1:5" s="230" customFormat="1" ht="12.75">
      <c r="A127" s="232" t="s">
        <v>294</v>
      </c>
      <c r="B127" s="259">
        <f>GEOMEAN(B33:B52,B73:B92)</f>
        <v>76.48324419544926</v>
      </c>
      <c r="C127" s="259">
        <f>GEOMEAN(C33:C52,C73:C92)</f>
        <v>22771.109988788565</v>
      </c>
      <c r="D127" s="382">
        <f>GEOMEAN(D33:D52,D73:D92)</f>
        <v>142.9880581883879</v>
      </c>
      <c r="E127" s="384">
        <f>GEOMEAN(E33:E52,E73:E92)</f>
        <v>109.1133039767512</v>
      </c>
    </row>
    <row r="128" spans="1:5" s="230" customFormat="1" ht="12.75">
      <c r="A128" s="233" t="s">
        <v>346</v>
      </c>
      <c r="B128" s="261">
        <f>COUNT(B33:B52,B73:B92)</f>
        <v>40</v>
      </c>
      <c r="C128" s="478">
        <f>COUNT(C33:C52,C73:C92)</f>
        <v>40</v>
      </c>
      <c r="D128" s="478">
        <f>COUNT(D33:D52,D73:D92)</f>
        <v>40</v>
      </c>
      <c r="E128" s="478">
        <f>COUNT(E33:E52,E73:E92)</f>
        <v>40</v>
      </c>
    </row>
    <row r="129" spans="1:5" s="230" customFormat="1" ht="12.75">
      <c r="A129" s="234"/>
      <c r="B129" s="234"/>
      <c r="C129" s="480"/>
      <c r="D129" s="480"/>
      <c r="E129" s="480"/>
    </row>
    <row r="130" spans="1:5" s="230" customFormat="1" ht="12.75">
      <c r="A130" s="229" t="s">
        <v>296</v>
      </c>
      <c r="B130" s="229"/>
      <c r="C130" s="480"/>
      <c r="D130" s="480"/>
      <c r="E130" s="480"/>
    </row>
    <row r="131" spans="1:5" ht="12.75">
      <c r="A131" s="235" t="s">
        <v>331</v>
      </c>
      <c r="B131" s="235"/>
      <c r="C131" s="481"/>
      <c r="D131" s="481"/>
      <c r="E131" s="481"/>
    </row>
    <row r="132" spans="1:5" ht="12.75">
      <c r="A132" s="237" t="s">
        <v>293</v>
      </c>
      <c r="B132" s="262">
        <f>PERCENTILE((B93:B116),0.75)</f>
        <v>95.5</v>
      </c>
      <c r="C132" s="262">
        <f>PERCENTILE((C93:C116),0.75)</f>
        <v>2007.000846794942</v>
      </c>
      <c r="D132" s="483">
        <f>PERCENTILE(($D$93:$D$116),0.75)</f>
        <v>22.308909405683597</v>
      </c>
      <c r="E132" s="482"/>
    </row>
    <row r="133" spans="1:5" ht="12.75">
      <c r="A133" s="238" t="s">
        <v>294</v>
      </c>
      <c r="B133" s="262">
        <f>GEOMEAN(B93:B116)</f>
        <v>88.89955127686744</v>
      </c>
      <c r="C133" s="484">
        <f>GEOMEAN(C93:C116)</f>
        <v>702.4552316326768</v>
      </c>
      <c r="D133" s="483">
        <f>GEOMEAN($D$93:$D$116)</f>
        <v>12.715202841441442</v>
      </c>
      <c r="E133" s="482"/>
    </row>
    <row r="134" spans="1:5" ht="12.75">
      <c r="A134" s="239" t="s">
        <v>346</v>
      </c>
      <c r="B134" s="263">
        <f>COUNT(B93:B116)</f>
        <v>24</v>
      </c>
      <c r="C134" s="479">
        <f>COUNT(C93:C116)</f>
        <v>24</v>
      </c>
      <c r="D134" s="479">
        <f>COUNT(D93:D116)</f>
        <v>23</v>
      </c>
      <c r="E134" s="482"/>
    </row>
    <row r="135" spans="3:5" ht="12.75">
      <c r="C135" s="481"/>
      <c r="D135" s="481"/>
      <c r="E135" s="481"/>
    </row>
    <row r="136" spans="1:5" ht="12.75">
      <c r="A136" s="235" t="s">
        <v>332</v>
      </c>
      <c r="B136" s="235"/>
      <c r="C136" s="481"/>
      <c r="D136" s="481"/>
      <c r="E136" s="481"/>
    </row>
    <row r="137" spans="1:5" ht="12.75">
      <c r="A137" s="237" t="s">
        <v>293</v>
      </c>
      <c r="B137" s="262">
        <f>PERCENTILE((B105:B116),0.75)</f>
        <v>95.75</v>
      </c>
      <c r="C137" s="482"/>
      <c r="D137" s="482"/>
      <c r="E137" s="485">
        <f>PERCENTILE((E105:E116),0.75)</f>
        <v>0.049430641821946175</v>
      </c>
    </row>
    <row r="138" spans="1:5" ht="12.75">
      <c r="A138" s="238" t="s">
        <v>294</v>
      </c>
      <c r="B138" s="262">
        <f>GEOMEAN(B105:B116)</f>
        <v>88.38939431967319</v>
      </c>
      <c r="C138" s="482"/>
      <c r="D138" s="482"/>
      <c r="E138" s="485">
        <f>GEOMEAN(E105:E116)</f>
        <v>0.04369816225439175</v>
      </c>
    </row>
    <row r="139" spans="1:5" ht="12.75">
      <c r="A139" s="239" t="s">
        <v>346</v>
      </c>
      <c r="B139" s="263">
        <f>COUNT(B105:B116)</f>
        <v>12</v>
      </c>
      <c r="C139" s="481"/>
      <c r="D139" s="481"/>
      <c r="E139" s="479">
        <f>COUNT(E105:E116)</f>
        <v>12</v>
      </c>
    </row>
  </sheetData>
  <sheetProtection sheet="1" objects="1" scenarios="1" formatCells="0" formatColumns="0" formatRows="0"/>
  <printOptions/>
  <pageMargins left="0.75" right="0.75" top="1" bottom="1" header="0.4921259845" footer="0.4921259845"/>
  <pageSetup orientation="portrait" paperSize="9" r:id="rId1"/>
  <ignoredErrors>
    <ignoredError sqref="C126:D127 C128:E128 C132:C134 B132:B134 B137:B139" formulaRange="1"/>
    <ignoredError sqref="A33:A52 A32 A53:A72 A3 A4 A5 A6 A7 A8 A9 A10 A11 A12 A13 A14 A15 A16 A17 A18 A19 A20 A21 A22 A23 A24 A25 A26 A27 A28 A29 A30 A31 A73:A93 A94 A95 A96 A97 A98 A99 A100 A101 A102 A103 A104 A105 A106 A107 A108 A109 A110 A111 A112 A113 A114 A115 A116" twoDigitTextYear="1"/>
  </ignoredErrors>
</worksheet>
</file>

<file path=xl/worksheets/sheet25.xml><?xml version="1.0" encoding="utf-8"?>
<worksheet xmlns="http://schemas.openxmlformats.org/spreadsheetml/2006/main" xmlns:r="http://schemas.openxmlformats.org/officeDocument/2006/relationships">
  <sheetPr codeName="Feuil2"/>
  <dimension ref="A1:J129"/>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J1" sqref="J1"/>
    </sheetView>
  </sheetViews>
  <sheetFormatPr defaultColWidth="11.421875" defaultRowHeight="12.75"/>
  <cols>
    <col min="1" max="1" width="17.57421875" style="216" customWidth="1"/>
    <col min="2" max="2" width="11.140625" style="216" bestFit="1" customWidth="1"/>
    <col min="3" max="3" width="12.00390625" style="217" bestFit="1" customWidth="1"/>
    <col min="4" max="8" width="11.421875" style="217" customWidth="1"/>
    <col min="9" max="9" width="4.421875" style="217" customWidth="1"/>
    <col min="10" max="10" width="15.57421875" style="217" customWidth="1"/>
    <col min="11" max="11" width="4.00390625" style="216" customWidth="1"/>
    <col min="12" max="16384" width="11.421875" style="216" customWidth="1"/>
  </cols>
  <sheetData>
    <row r="1" spans="1:10" s="212" customFormat="1" ht="63.75">
      <c r="A1" s="241" t="s">
        <v>107</v>
      </c>
      <c r="B1" s="210" t="s">
        <v>365</v>
      </c>
      <c r="C1" s="380" t="s">
        <v>369</v>
      </c>
      <c r="D1" s="380" t="s">
        <v>370</v>
      </c>
      <c r="E1" s="380" t="s">
        <v>371</v>
      </c>
      <c r="F1" s="380" t="s">
        <v>372</v>
      </c>
      <c r="G1" s="380" t="s">
        <v>373</v>
      </c>
      <c r="H1" s="380" t="s">
        <v>374</v>
      </c>
      <c r="I1" s="381"/>
      <c r="J1" s="362" t="s">
        <v>1</v>
      </c>
    </row>
    <row r="3" spans="1:10" ht="12.75">
      <c r="A3" s="215" t="s">
        <v>109</v>
      </c>
      <c r="B3" s="242">
        <v>84</v>
      </c>
      <c r="C3" s="373">
        <f>'Indiv results Appl'!AK166</f>
        <v>83243.27896908073</v>
      </c>
      <c r="D3" s="373">
        <f>'Indiv results Appl'!AL166</f>
        <v>5904.696725711218</v>
      </c>
      <c r="E3" s="368">
        <f>'Indiv results Appl'!AM166</f>
        <v>2.4154589371980677</v>
      </c>
      <c r="F3" s="372">
        <f>'Indiv results Appl'!AN166</f>
        <v>634.1861990815291</v>
      </c>
      <c r="G3" s="370">
        <f>'Indiv results Appl'!AO166</f>
        <v>0.24154589371980678</v>
      </c>
      <c r="H3" s="372">
        <f>'Indiv results Appl'!AP166</f>
        <v>491.8833475419154</v>
      </c>
      <c r="I3" s="373"/>
      <c r="J3" s="373">
        <f>'Indiv results Appl'!AR166</f>
        <v>82149.6901702598</v>
      </c>
    </row>
    <row r="4" spans="1:10" ht="12.75">
      <c r="A4" s="215" t="s">
        <v>112</v>
      </c>
      <c r="B4" s="242">
        <v>78</v>
      </c>
      <c r="C4" s="373">
        <f>'Indiv results Appl'!AK168</f>
        <v>92891.58157215596</v>
      </c>
      <c r="D4" s="373">
        <f>'Indiv results Appl'!AL168</f>
        <v>5127.849794238683</v>
      </c>
      <c r="E4" s="368">
        <f>'Indiv results Appl'!AM168</f>
        <v>2.7777777777777777</v>
      </c>
      <c r="F4" s="372">
        <f>'Indiv results Appl'!AN168</f>
        <v>462.73662551440333</v>
      </c>
      <c r="G4" s="370">
        <f>'Indiv results Appl'!AO168</f>
        <v>0.2777777777777778</v>
      </c>
      <c r="H4" s="372">
        <f>'Indiv results Appl'!AP168</f>
        <v>550.7393790849673</v>
      </c>
      <c r="I4" s="373"/>
      <c r="J4" s="373">
        <f>'Indiv results Appl'!AR168</f>
        <v>92159.99023505615</v>
      </c>
    </row>
    <row r="5" spans="1:10" ht="12.75">
      <c r="A5" s="215" t="s">
        <v>114</v>
      </c>
      <c r="B5" s="242">
        <v>63</v>
      </c>
      <c r="C5" s="373">
        <f>'Indiv results Appl'!AK170</f>
        <v>110124.33645565361</v>
      </c>
      <c r="D5" s="373">
        <f>'Indiv results Appl'!AL170</f>
        <v>3695.620915032679</v>
      </c>
      <c r="E5" s="368">
        <f>'Indiv results Appl'!AM170</f>
        <v>1.9607843137254901</v>
      </c>
      <c r="F5" s="369">
        <f>'Indiv results Appl'!AN170</f>
        <v>95.66690873880415</v>
      </c>
      <c r="G5" s="370">
        <f>'Indiv results Appl'!AO170</f>
        <v>0.19607843137254902</v>
      </c>
      <c r="H5" s="372">
        <f>'Indiv results Appl'!AP170</f>
        <v>227.20011534025375</v>
      </c>
      <c r="I5" s="373"/>
      <c r="J5" s="373">
        <f>'Indiv results Appl'!AR170</f>
        <v>108664.29989865795</v>
      </c>
    </row>
    <row r="6" spans="1:10" ht="12.75">
      <c r="A6" s="215" t="s">
        <v>116</v>
      </c>
      <c r="B6" s="242">
        <v>83</v>
      </c>
      <c r="C6" s="373">
        <f>'Indiv results Appl'!AK172</f>
        <v>42665.096095924724</v>
      </c>
      <c r="D6" s="373">
        <f>'Indiv results Appl'!AL172</f>
        <v>3365.258760443945</v>
      </c>
      <c r="E6" s="368">
        <f>'Indiv results Appl'!AM172</f>
        <v>1.0101010101010102</v>
      </c>
      <c r="F6" s="369">
        <f>'Indiv results Appl'!AN172</f>
        <v>24.032921810699587</v>
      </c>
      <c r="G6" s="370">
        <f>'Indiv results Appl'!AO172</f>
        <v>0.10101010101010102</v>
      </c>
      <c r="H6" s="369">
        <f>'Indiv results Appl'!AP172</f>
        <v>27.48366013071895</v>
      </c>
      <c r="I6" s="373"/>
      <c r="J6" s="373">
        <f>'Indiv results Appl'!AR172</f>
        <v>2276.04456365285</v>
      </c>
    </row>
    <row r="7" spans="1:10" ht="12.75">
      <c r="A7" s="215" t="s">
        <v>118</v>
      </c>
      <c r="B7" s="242">
        <v>82</v>
      </c>
      <c r="C7" s="373">
        <f>'Indiv results Appl'!AK174</f>
        <v>11255.775999163005</v>
      </c>
      <c r="D7" s="372">
        <f>'Indiv results Appl'!AL174</f>
        <v>863.2932098765431</v>
      </c>
      <c r="E7" s="369">
        <f>'Indiv results Appl'!AM174</f>
        <v>18.39506172839506</v>
      </c>
      <c r="F7" s="369">
        <f>'Indiv results Appl'!AN174</f>
        <v>41.34567901234568</v>
      </c>
      <c r="G7" s="371">
        <f>'Indiv results Appl'!AO174</f>
        <v>0.08333333333333334</v>
      </c>
      <c r="H7" s="369">
        <f>'Indiv results Appl'!AP174</f>
        <v>91.19362745098039</v>
      </c>
      <c r="I7" s="373"/>
      <c r="J7" s="373">
        <f>'Indiv results Appl'!AR174</f>
        <v>8764.5330613099</v>
      </c>
    </row>
    <row r="8" spans="1:10" ht="12.75">
      <c r="A8" s="215" t="s">
        <v>120</v>
      </c>
      <c r="B8" s="242">
        <v>85</v>
      </c>
      <c r="C8" s="373">
        <f>'Indiv results Appl'!AK176</f>
        <v>27432.977395764596</v>
      </c>
      <c r="D8" s="373">
        <f>'Indiv results Appl'!AL176</f>
        <v>7960.871080871081</v>
      </c>
      <c r="E8" s="368">
        <f>'Indiv results Appl'!AM176</f>
        <v>1.7094017094017095</v>
      </c>
      <c r="F8" s="369">
        <f>'Indiv results Appl'!AN176</f>
        <v>59.65178854067742</v>
      </c>
      <c r="G8" s="369">
        <f>'Indiv results Appl'!AO176</f>
        <v>19.08313908313908</v>
      </c>
      <c r="H8" s="372">
        <f>'Indiv results Appl'!AP176</f>
        <v>169.13021618903971</v>
      </c>
      <c r="I8" s="373"/>
      <c r="J8" s="373">
        <f>'Indiv results Appl'!AR176</f>
        <v>26543.668399675935</v>
      </c>
    </row>
    <row r="9" spans="1:10" ht="12.75">
      <c r="A9" s="215" t="s">
        <v>122</v>
      </c>
      <c r="B9" s="242">
        <v>65</v>
      </c>
      <c r="C9" s="373">
        <f>'Indiv results Appl'!AK178</f>
        <v>24429.924823542024</v>
      </c>
      <c r="D9" s="372">
        <f>'Indiv results Appl'!AL178</f>
        <v>627.0694904479909</v>
      </c>
      <c r="E9" s="369">
        <f>'Indiv results Appl'!AM178</f>
        <v>14.399946468600486</v>
      </c>
      <c r="F9" s="369">
        <f>'Indiv results Appl'!AN178</f>
        <v>51.598915989159885</v>
      </c>
      <c r="G9" s="370">
        <f>'Indiv results Appl'!AO178</f>
        <v>0.21680216802168023</v>
      </c>
      <c r="H9" s="372">
        <f>'Indiv results Appl'!AP178</f>
        <v>297.53546947234173</v>
      </c>
      <c r="I9" s="373"/>
      <c r="J9" s="373">
        <f>'Indiv results Appl'!AR178</f>
        <v>23533.539724097805</v>
      </c>
    </row>
    <row r="10" spans="1:10" ht="12.75">
      <c r="A10" s="215" t="s">
        <v>124</v>
      </c>
      <c r="B10" s="242">
        <v>67</v>
      </c>
      <c r="C10" s="373">
        <f>'Indiv results Appl'!AK180</f>
        <v>21462.971105470493</v>
      </c>
      <c r="D10" s="373">
        <f>'Indiv results Appl'!AL180</f>
        <v>3334.087493290391</v>
      </c>
      <c r="E10" s="368">
        <f>'Indiv results Appl'!AM180</f>
        <v>2.1739130434782608</v>
      </c>
      <c r="F10" s="372">
        <f>'Indiv results Appl'!AN180</f>
        <v>806.7257112184648</v>
      </c>
      <c r="G10" s="370">
        <f>'Indiv results Appl'!AO180</f>
        <v>0.21739130434782608</v>
      </c>
      <c r="H10" s="372">
        <f>'Indiv results Appl'!AP180</f>
        <v>672.7109974424552</v>
      </c>
      <c r="I10" s="373"/>
      <c r="J10" s="373">
        <f>'Indiv results Appl'!AR180</f>
        <v>20393.84803988464</v>
      </c>
    </row>
    <row r="11" spans="1:10" ht="12.75">
      <c r="A11" s="215" t="s">
        <v>126</v>
      </c>
      <c r="B11" s="242">
        <v>83</v>
      </c>
      <c r="C11" s="373">
        <f>'Indiv results Appl'!AK182</f>
        <v>8415.244857169659</v>
      </c>
      <c r="D11" s="373">
        <f>'Indiv results Appl'!AL182</f>
        <v>2252.9646807525414</v>
      </c>
      <c r="E11" s="369">
        <f>'Indiv results Appl'!AM182</f>
        <v>18.904647741106707</v>
      </c>
      <c r="F11" s="372">
        <f>'Indiv results Appl'!AN182</f>
        <v>103.63200466043781</v>
      </c>
      <c r="G11" s="370">
        <f>'Indiv results Appl'!AO182</f>
        <v>0.1209921355111918</v>
      </c>
      <c r="H11" s="368">
        <f>'Indiv results Appl'!AP182</f>
        <v>1.754385964912281</v>
      </c>
      <c r="I11" s="373"/>
      <c r="J11" s="373">
        <f>'Indiv results Appl'!AR182</f>
        <v>7086.833237823221</v>
      </c>
    </row>
    <row r="12" spans="1:10" ht="12.75">
      <c r="A12" s="215" t="s">
        <v>128</v>
      </c>
      <c r="B12" s="242">
        <v>78</v>
      </c>
      <c r="C12" s="373">
        <f>'Indiv results Appl'!AK184</f>
        <v>5335.956360059426</v>
      </c>
      <c r="D12" s="373">
        <f>'Indiv results Appl'!AL184</f>
        <v>8068.672268539073</v>
      </c>
      <c r="E12" s="368">
        <f>'Indiv results Appl'!AM184</f>
        <v>2.2199200828770165</v>
      </c>
      <c r="F12" s="369">
        <f>'Indiv results Appl'!AN184</f>
        <v>33.16176913927395</v>
      </c>
      <c r="G12" s="370">
        <f>'Indiv results Appl'!AO184</f>
        <v>0.2219920082877017</v>
      </c>
      <c r="H12" s="368">
        <f>'Indiv results Appl'!AP184</f>
        <v>3.2188841201716745</v>
      </c>
      <c r="I12" s="373"/>
      <c r="J12" s="373">
        <f>'Indiv results Appl'!AR184</f>
        <v>3995.9674471179187</v>
      </c>
    </row>
    <row r="13" spans="1:10" ht="12.75">
      <c r="A13" s="216" t="s">
        <v>130</v>
      </c>
      <c r="B13" s="243">
        <v>75</v>
      </c>
      <c r="C13" s="374">
        <f>'Indiv results Appl'!AK186</f>
        <v>566152.0959762863</v>
      </c>
      <c r="D13" s="374">
        <f>'Indiv results Appl'!AL186</f>
        <v>17528.13162046428</v>
      </c>
      <c r="E13" s="374">
        <f>'Indiv results Appl'!AM186</f>
        <v>1079.0588235294117</v>
      </c>
      <c r="F13" s="374">
        <f>'Indiv results Appl'!AN186</f>
        <v>28968.49526327385</v>
      </c>
      <c r="G13" s="375">
        <f>'Indiv results Appl'!AO186</f>
        <v>22.249267523101196</v>
      </c>
      <c r="H13" s="374">
        <f>'Indiv results Appl'!AP186</f>
        <v>2416.666666666667</v>
      </c>
      <c r="I13" s="374"/>
      <c r="J13" s="374">
        <f>'Indiv results Appl'!AR186</f>
        <v>316263.5041759299</v>
      </c>
    </row>
    <row r="14" spans="1:10" ht="12.75">
      <c r="A14" s="216" t="s">
        <v>132</v>
      </c>
      <c r="B14" s="243">
        <v>78</v>
      </c>
      <c r="C14" s="374">
        <f>'Indiv results Appl'!AK188</f>
        <v>132499.39019744488</v>
      </c>
      <c r="D14" s="374">
        <f>'Indiv results Appl'!AL188</f>
        <v>11615.995115995116</v>
      </c>
      <c r="E14" s="376">
        <f>'Indiv results Appl'!AM188</f>
        <v>458.6894586894587</v>
      </c>
      <c r="F14" s="374">
        <f>'Indiv results Appl'!AN188</f>
        <v>2763.8479619026325</v>
      </c>
      <c r="G14" s="377">
        <f>'Indiv results Appl'!AO188</f>
        <v>0.6105006105006106</v>
      </c>
      <c r="H14" s="376">
        <f>'Indiv results Appl'!AP188</f>
        <v>539.7274294333117</v>
      </c>
      <c r="I14" s="374"/>
      <c r="J14" s="374">
        <f>'Indiv results Appl'!AR188</f>
        <v>106246.47644453114</v>
      </c>
    </row>
    <row r="15" spans="1:10" ht="12.75">
      <c r="A15" s="216" t="s">
        <v>134</v>
      </c>
      <c r="B15" s="243">
        <v>67</v>
      </c>
      <c r="C15" s="374">
        <f>'Indiv results Appl'!AK190</f>
        <v>1249038.4819518342</v>
      </c>
      <c r="D15" s="374">
        <f>'Indiv results Appl'!AL190</f>
        <v>17766.820952380953</v>
      </c>
      <c r="E15" s="374">
        <f>'Indiv results Appl'!AM190</f>
        <v>1331.0476190476188</v>
      </c>
      <c r="F15" s="374">
        <f>'Indiv results Appl'!AN190</f>
        <v>70012.50792586026</v>
      </c>
      <c r="G15" s="375">
        <f>'Indiv results Appl'!AO190</f>
        <v>10.630476190476191</v>
      </c>
      <c r="H15" s="376">
        <f>'Indiv results Appl'!AP190</f>
        <v>190.00280112044817</v>
      </c>
      <c r="I15" s="374"/>
      <c r="J15" s="374">
        <f>'Indiv results Appl'!AR190</f>
        <v>1125943.243856596</v>
      </c>
    </row>
    <row r="16" spans="1:10" ht="12.75">
      <c r="A16" s="216" t="s">
        <v>136</v>
      </c>
      <c r="B16" s="243">
        <v>75</v>
      </c>
      <c r="C16" s="374">
        <f>'Indiv results Appl'!AK192</f>
        <v>544053.9233150961</v>
      </c>
      <c r="D16" s="374">
        <f>'Indiv results Appl'!AL192</f>
        <v>7658.5257548845475</v>
      </c>
      <c r="E16" s="376">
        <f>'Indiv results Appl'!AM192</f>
        <v>390.05328596802843</v>
      </c>
      <c r="F16" s="374">
        <f>'Indiv results Appl'!AN192</f>
        <v>17622.872128272364</v>
      </c>
      <c r="G16" s="377">
        <f>'Indiv results Appl'!AO192</f>
        <v>0.4440497335701599</v>
      </c>
      <c r="H16" s="376">
        <f>'Indiv results Appl'!AP192</f>
        <v>730.6054748720092</v>
      </c>
      <c r="I16" s="374"/>
      <c r="J16" s="374">
        <f>'Indiv results Appl'!AR192</f>
        <v>458887.2028242194</v>
      </c>
    </row>
    <row r="17" spans="1:10" ht="12.75">
      <c r="A17" s="216" t="s">
        <v>138</v>
      </c>
      <c r="B17" s="243">
        <v>63</v>
      </c>
      <c r="C17" s="374">
        <f>'Indiv results Appl'!AK194</f>
        <v>141306.53386911034</v>
      </c>
      <c r="D17" s="374">
        <f>'Indiv results Appl'!AL194</f>
        <v>6925.837320574163</v>
      </c>
      <c r="E17" s="376">
        <f>'Indiv results Appl'!AM194</f>
        <v>806.060606060606</v>
      </c>
      <c r="F17" s="374">
        <f>'Indiv results Appl'!AN194</f>
        <v>5858.150514028427</v>
      </c>
      <c r="G17" s="377">
        <f>'Indiv results Appl'!AO194</f>
        <v>0.7974481658692185</v>
      </c>
      <c r="H17" s="376">
        <f>'Indiv results Appl'!AP194</f>
        <v>342.46880570409985</v>
      </c>
      <c r="I17" s="374"/>
      <c r="J17" s="374">
        <f>'Indiv results Appl'!AR194</f>
        <v>47778.55068801712</v>
      </c>
    </row>
    <row r="18" spans="1:10" ht="12.75">
      <c r="A18" s="216" t="s">
        <v>140</v>
      </c>
      <c r="B18" s="243">
        <v>90</v>
      </c>
      <c r="C18" s="374">
        <f>'Indiv results Appl'!AK196</f>
        <v>196785.8972777562</v>
      </c>
      <c r="D18" s="374">
        <f>'Indiv results Appl'!AL196</f>
        <v>21795.144522144525</v>
      </c>
      <c r="E18" s="376">
        <f>'Indiv results Appl'!AM196</f>
        <v>343.3566433566434</v>
      </c>
      <c r="F18" s="376">
        <f>'Indiv results Appl'!AN196</f>
        <v>417.4929548063877</v>
      </c>
      <c r="G18" s="378">
        <f>'Indiv results Appl'!AO196</f>
        <v>2.6037296037296036</v>
      </c>
      <c r="H18" s="376">
        <f>'Indiv results Appl'!AP196</f>
        <v>603.9181406828466</v>
      </c>
      <c r="I18" s="374"/>
      <c r="J18" s="374">
        <f>'Indiv results Appl'!AR196</f>
        <v>122408.38085478521</v>
      </c>
    </row>
    <row r="19" spans="1:10" ht="12.75">
      <c r="A19" s="216" t="s">
        <v>142</v>
      </c>
      <c r="B19" s="243">
        <v>80</v>
      </c>
      <c r="C19" s="374">
        <f>'Indiv results Appl'!AK198</f>
        <v>383240.08921705454</v>
      </c>
      <c r="D19" s="374">
        <f>'Indiv results Appl'!AL198</f>
        <v>10617.647058823528</v>
      </c>
      <c r="E19" s="375">
        <f>'Indiv results Appl'!AM198</f>
        <v>24.12358882947118</v>
      </c>
      <c r="F19" s="376">
        <f>'Indiv results Appl'!AN198</f>
        <v>883.0968333242158</v>
      </c>
      <c r="G19" s="377">
        <f>'Indiv results Appl'!AO198</f>
        <v>0.89126559714795</v>
      </c>
      <c r="H19" s="376">
        <f>'Indiv results Appl'!AP198</f>
        <v>537.8394673377372</v>
      </c>
      <c r="I19" s="374"/>
      <c r="J19" s="374">
        <f>'Indiv results Appl'!AR198</f>
        <v>346825.81276267115</v>
      </c>
    </row>
    <row r="20" spans="1:10" ht="12.75">
      <c r="A20" s="216" t="s">
        <v>144</v>
      </c>
      <c r="B20" s="243">
        <v>75</v>
      </c>
      <c r="C20" s="374">
        <f>'Indiv results Appl'!AK200</f>
        <v>152133.99263661116</v>
      </c>
      <c r="D20" s="376">
        <f>'Indiv results Appl'!AL200</f>
        <v>243.8229640395705</v>
      </c>
      <c r="E20" s="378">
        <f>'Indiv results Appl'!AM200</f>
        <v>1.8050541516245486</v>
      </c>
      <c r="F20" s="374">
        <f>'Indiv results Appl'!AN200</f>
        <v>10837.51303919295</v>
      </c>
      <c r="G20" s="378">
        <f>'Indiv results Appl'!AO200</f>
        <v>1.8050541516245486</v>
      </c>
      <c r="H20" s="376">
        <f>'Indiv results Appl'!AP200</f>
        <v>470.8698641911638</v>
      </c>
      <c r="I20" s="374"/>
      <c r="J20" s="374">
        <f>'Indiv results Appl'!AR200</f>
        <v>138965.35135009984</v>
      </c>
    </row>
    <row r="21" spans="1:10" ht="12.75">
      <c r="A21" s="216" t="s">
        <v>146</v>
      </c>
      <c r="B21" s="243">
        <v>85</v>
      </c>
      <c r="C21" s="374">
        <f>'Indiv results Appl'!AK202</f>
        <v>303048.8992299637</v>
      </c>
      <c r="D21" s="374">
        <f>'Indiv results Appl'!AL202</f>
        <v>16290.262172284643</v>
      </c>
      <c r="E21" s="376">
        <f>'Indiv results Appl'!AM202</f>
        <v>278.4019975031211</v>
      </c>
      <c r="F21" s="374">
        <f>'Indiv results Appl'!AN202</f>
        <v>4747.060619136359</v>
      </c>
      <c r="G21" s="378">
        <f>'Indiv results Appl'!AO202</f>
        <v>1.8726591760299625</v>
      </c>
      <c r="H21" s="376">
        <f>'Indiv results Appl'!AP202</f>
        <v>280.64000881251377</v>
      </c>
      <c r="I21" s="374"/>
      <c r="J21" s="374">
        <f>'Indiv results Appl'!AR202</f>
        <v>218638.78687041317</v>
      </c>
    </row>
    <row r="22" spans="1:10" ht="12.75">
      <c r="A22" s="216" t="s">
        <v>148</v>
      </c>
      <c r="B22" s="243">
        <v>59</v>
      </c>
      <c r="C22" s="374">
        <f>'Indiv results Appl'!AK204</f>
        <v>46568.05726708473</v>
      </c>
      <c r="D22" s="374">
        <f>'Indiv results Appl'!AL204</f>
        <v>9067.454798331015</v>
      </c>
      <c r="E22" s="375">
        <f>'Indiv results Appl'!AM204</f>
        <v>24.84469170143718</v>
      </c>
      <c r="F22" s="376">
        <f>'Indiv results Appl'!AN204</f>
        <v>453.9783696261391</v>
      </c>
      <c r="G22" s="377">
        <f>'Indiv results Appl'!AO204</f>
        <v>0.6954102920723227</v>
      </c>
      <c r="H22" s="376">
        <f>'Indiv results Appl'!AP204</f>
        <v>106.20244620796859</v>
      </c>
      <c r="I22" s="374"/>
      <c r="J22" s="374">
        <f>'Indiv results Appl'!AR204</f>
        <v>42168.7179068622</v>
      </c>
    </row>
    <row r="23" spans="1:10" ht="12.75">
      <c r="A23" s="215" t="s">
        <v>150</v>
      </c>
      <c r="B23" s="242">
        <v>72</v>
      </c>
      <c r="C23" s="373">
        <f>'Indiv results Appl'!AK206</f>
        <v>89340.10249745543</v>
      </c>
      <c r="D23" s="373">
        <f>'Indiv results Appl'!AL206</f>
        <v>4033.7454255175776</v>
      </c>
      <c r="E23" s="369">
        <f>'Indiv results Appl'!AM206</f>
        <v>93.29877823028508</v>
      </c>
      <c r="F23" s="372">
        <f>'Indiv results Appl'!AN206</f>
        <v>303.3283283283283</v>
      </c>
      <c r="G23" s="369">
        <f>'Indiv results Appl'!AO206</f>
        <v>12.963279735431634</v>
      </c>
      <c r="H23" s="372">
        <f>'Indiv results Appl'!AP206</f>
        <v>509.1625716625716</v>
      </c>
      <c r="I23" s="373"/>
      <c r="J23" s="373">
        <f>'Indiv results Appl'!AR206</f>
        <v>81990.34097122333</v>
      </c>
    </row>
    <row r="24" spans="1:10" ht="12.75">
      <c r="A24" s="215" t="s">
        <v>152</v>
      </c>
      <c r="B24" s="242">
        <v>82</v>
      </c>
      <c r="C24" s="373">
        <f>'Indiv results Appl'!AK208</f>
        <v>384636.4903941375</v>
      </c>
      <c r="D24" s="373">
        <f>'Indiv results Appl'!AL208</f>
        <v>15981.753553951483</v>
      </c>
      <c r="E24" s="372">
        <f>'Indiv results Appl'!AM208</f>
        <v>767.4553756745538</v>
      </c>
      <c r="F24" s="373">
        <f>'Indiv results Appl'!AN208</f>
        <v>6407.138047138047</v>
      </c>
      <c r="G24" s="369">
        <f>'Indiv results Appl'!AO208</f>
        <v>19.86191024165708</v>
      </c>
      <c r="H24" s="372">
        <f>'Indiv results Appl'!AP208</f>
        <v>701.6988062442607</v>
      </c>
      <c r="I24" s="373"/>
      <c r="J24" s="373">
        <f>'Indiv results Appl'!AR208</f>
        <v>344240.7684690038</v>
      </c>
    </row>
    <row r="25" spans="1:10" ht="12.75">
      <c r="A25" s="215" t="s">
        <v>154</v>
      </c>
      <c r="B25" s="242">
        <v>70</v>
      </c>
      <c r="C25" s="373">
        <f>'Indiv results Appl'!AK210</f>
        <v>1474440.5973575062</v>
      </c>
      <c r="D25" s="373">
        <f>'Indiv results Appl'!AL210</f>
        <v>36591.419631093544</v>
      </c>
      <c r="E25" s="372">
        <f>'Indiv results Appl'!AM210</f>
        <v>686.9565217391305</v>
      </c>
      <c r="F25" s="373">
        <f>'Indiv results Appl'!AN210</f>
        <v>117535.2265135163</v>
      </c>
      <c r="G25" s="372">
        <f>'Indiv results Appl'!AO210</f>
        <v>338.9492753623189</v>
      </c>
      <c r="H25" s="372">
        <f>'Indiv results Appl'!AP210</f>
        <v>369.8431324110672</v>
      </c>
      <c r="I25" s="373"/>
      <c r="J25" s="373">
        <f>'Indiv results Appl'!AR210</f>
        <v>1085334.1395569947</v>
      </c>
    </row>
    <row r="26" spans="1:10" ht="12.75">
      <c r="A26" s="215" t="s">
        <v>156</v>
      </c>
      <c r="B26" s="242">
        <v>65</v>
      </c>
      <c r="C26" s="373">
        <f>'Indiv results Appl'!AK212</f>
        <v>360025.9485335505</v>
      </c>
      <c r="D26" s="373">
        <f>'Indiv results Appl'!AL212</f>
        <v>45359.96383363471</v>
      </c>
      <c r="E26" s="373"/>
      <c r="F26" s="373">
        <f>'Indiv results Appl'!AN212</f>
        <v>2555.920522346054</v>
      </c>
      <c r="G26" s="368">
        <f>'Indiv results Appl'!AO212</f>
        <v>2.8209764918625675</v>
      </c>
      <c r="H26" s="372">
        <f>'Indiv results Appl'!AP212</f>
        <v>336.8686868686869</v>
      </c>
      <c r="I26" s="373"/>
      <c r="J26" s="373">
        <f>'Indiv results Appl'!AR212</f>
        <v>260194.01576044125</v>
      </c>
    </row>
    <row r="27" spans="1:10" ht="12.75">
      <c r="A27" s="215" t="s">
        <v>158</v>
      </c>
      <c r="B27" s="242">
        <v>75</v>
      </c>
      <c r="C27" s="373">
        <f>'Indiv results Appl'!AK214</f>
        <v>79048.62914862913</v>
      </c>
      <c r="D27" s="373">
        <f>'Indiv results Appl'!AL214</f>
        <v>11122.652735641803</v>
      </c>
      <c r="E27" s="372">
        <f>'Indiv results Appl'!AM214</f>
        <v>124.96886674968867</v>
      </c>
      <c r="F27" s="372">
        <f>'Indiv results Appl'!AN214</f>
        <v>772.9797979797979</v>
      </c>
      <c r="G27" s="369">
        <f>'Indiv results Appl'!AO214</f>
        <v>25.028768699654773</v>
      </c>
      <c r="H27" s="372">
        <f>'Indiv results Appl'!AP214</f>
        <v>324.67716942148763</v>
      </c>
      <c r="I27" s="373"/>
      <c r="J27" s="373">
        <f>'Indiv results Appl'!AR214</f>
        <v>70614.93930905695</v>
      </c>
    </row>
    <row r="28" spans="1:10" ht="12.75">
      <c r="A28" s="215" t="s">
        <v>160</v>
      </c>
      <c r="B28" s="242">
        <v>86</v>
      </c>
      <c r="C28" s="373">
        <f>'Indiv results Appl'!AK216</f>
        <v>195818.8277461522</v>
      </c>
      <c r="D28" s="373">
        <f>'Indiv results Appl'!AL216</f>
        <v>21536.658319222628</v>
      </c>
      <c r="E28" s="372">
        <f>'Indiv results Appl'!AM216</f>
        <v>219.04211563955263</v>
      </c>
      <c r="F28" s="372">
        <f>'Indiv results Appl'!AN216</f>
        <v>778.6876206231044</v>
      </c>
      <c r="G28" s="369">
        <f>'Indiv results Appl'!AO216</f>
        <v>30.342054841850672</v>
      </c>
      <c r="H28" s="372">
        <f>'Indiv results Appl'!AP216</f>
        <v>439.1213625084592</v>
      </c>
      <c r="I28" s="373"/>
      <c r="J28" s="373">
        <f>'Indiv results Appl'!AR216</f>
        <v>141272.0462543992</v>
      </c>
    </row>
    <row r="29" spans="1:10" ht="12.75">
      <c r="A29" s="215" t="s">
        <v>162</v>
      </c>
      <c r="B29" s="242">
        <v>69</v>
      </c>
      <c r="C29" s="373">
        <f>'Indiv results Appl'!AK218</f>
        <v>1069501.8789571126</v>
      </c>
      <c r="D29" s="373">
        <f>'Indiv results Appl'!AL218</f>
        <v>60128.99722848019</v>
      </c>
      <c r="E29" s="372">
        <f>'Indiv results Appl'!AM218</f>
        <v>643.5054773082942</v>
      </c>
      <c r="F29" s="372">
        <f>'Indiv results Appl'!AN218</f>
        <v>817.3535037384803</v>
      </c>
      <c r="G29" s="368">
        <f>'Indiv results Appl'!AO218</f>
        <v>3.0902715873298865</v>
      </c>
      <c r="H29" s="372">
        <f>'Indiv results Appl'!AP218</f>
        <v>597.9780196329492</v>
      </c>
      <c r="I29" s="373"/>
      <c r="J29" s="373">
        <f>'Indiv results Appl'!AR218</f>
        <v>441968.0485235304</v>
      </c>
    </row>
    <row r="30" spans="1:10" ht="12.75">
      <c r="A30" s="215" t="s">
        <v>164</v>
      </c>
      <c r="B30" s="242">
        <v>92</v>
      </c>
      <c r="C30" s="373">
        <f>'Indiv results Appl'!AK220</f>
        <v>448636.61553314567</v>
      </c>
      <c r="D30" s="373">
        <f>'Indiv results Appl'!AL220</f>
        <v>32171.024959327013</v>
      </c>
      <c r="E30" s="373">
        <f>'Indiv results Appl'!AM220</f>
        <v>1601.83908045977</v>
      </c>
      <c r="F30" s="373">
        <f>'Indiv results Appl'!AN220</f>
        <v>48122.75481644521</v>
      </c>
      <c r="G30" s="369">
        <f>'Indiv results Appl'!AO220</f>
        <v>13.240215335370289</v>
      </c>
      <c r="H30" s="372">
        <f>'Indiv results Appl'!AP220</f>
        <v>678.409090909091</v>
      </c>
      <c r="I30" s="373"/>
      <c r="J30" s="373">
        <f>'Indiv results Appl'!AR220</f>
        <v>321347.9069462627</v>
      </c>
    </row>
    <row r="31" spans="1:10" ht="12.75">
      <c r="A31" s="215" t="s">
        <v>166</v>
      </c>
      <c r="B31" s="242">
        <v>75</v>
      </c>
      <c r="C31" s="373">
        <f>'Indiv results Appl'!AK222</f>
        <v>470479.03055306966</v>
      </c>
      <c r="D31" s="373">
        <f>'Indiv results Appl'!AL222</f>
        <v>49180.14519464036</v>
      </c>
      <c r="E31" s="373">
        <f>'Indiv results Appl'!AM222</f>
        <v>1117.150395778364</v>
      </c>
      <c r="F31" s="373">
        <f>'Indiv results Appl'!AN222</f>
        <v>2184.757698809234</v>
      </c>
      <c r="G31" s="368">
        <f>'Indiv results Appl'!AO222</f>
        <v>7.681774155839817</v>
      </c>
      <c r="H31" s="372">
        <f>'Indiv results Appl'!AP222</f>
        <v>776.4751739026144</v>
      </c>
      <c r="I31" s="373"/>
      <c r="J31" s="373">
        <f>'Indiv results Appl'!AR222</f>
        <v>336550.7362802154</v>
      </c>
    </row>
    <row r="32" spans="1:10" ht="12.75">
      <c r="A32" s="215" t="s">
        <v>168</v>
      </c>
      <c r="B32" s="242">
        <v>70</v>
      </c>
      <c r="C32" s="373">
        <f>'Indiv results Appl'!AK224</f>
        <v>495282.4018135505</v>
      </c>
      <c r="D32" s="373">
        <f>'Indiv results Appl'!AL224</f>
        <v>30198.609916845064</v>
      </c>
      <c r="E32" s="372">
        <f>'Indiv results Appl'!AM224</f>
        <v>191.02147434923916</v>
      </c>
      <c r="F32" s="373">
        <f>'Indiv results Appl'!AN224</f>
        <v>1948.6337165112463</v>
      </c>
      <c r="G32" s="369">
        <f>'Indiv results Appl'!AO224</f>
        <v>13.16343428106318</v>
      </c>
      <c r="H32" s="372">
        <f>'Indiv results Appl'!AP224</f>
        <v>357.12935900020165</v>
      </c>
      <c r="I32" s="373"/>
      <c r="J32" s="373">
        <f>'Indiv results Appl'!AR224</f>
        <v>389458.741972674</v>
      </c>
    </row>
    <row r="33" spans="1:10" s="219" customFormat="1" ht="12.75">
      <c r="A33" s="216" t="s">
        <v>169</v>
      </c>
      <c r="B33" s="258">
        <v>63.4</v>
      </c>
      <c r="C33" s="374">
        <f>'Indiv results Appl'!AK225</f>
        <v>1006967.7598233996</v>
      </c>
      <c r="D33" s="374">
        <f>'Indiv results Appl'!AL225</f>
        <v>26134.560041776447</v>
      </c>
      <c r="E33" s="376">
        <f>'Indiv results Appl'!AM225</f>
        <v>366.4843075151166</v>
      </c>
      <c r="F33" s="374">
        <f>'Indiv results Appl'!AN225</f>
        <v>46388.51037527594</v>
      </c>
      <c r="G33" s="378">
        <f>'Indiv results Appl'!AO225</f>
        <v>9.088276484132068</v>
      </c>
      <c r="H33" s="374">
        <f>'Indiv results Appl'!AP225</f>
        <v>1086.7637969094924</v>
      </c>
      <c r="I33" s="374"/>
      <c r="J33" s="374"/>
    </row>
    <row r="34" spans="1:10" s="219" customFormat="1" ht="12.75">
      <c r="A34" s="219" t="s">
        <v>170</v>
      </c>
      <c r="B34" s="258">
        <v>76.9</v>
      </c>
      <c r="C34" s="374">
        <f>'Indiv results Appl'!AK226</f>
        <v>1353967.320261438</v>
      </c>
      <c r="D34" s="374">
        <f>'Indiv results Appl'!AL226</f>
        <v>24804.83144751329</v>
      </c>
      <c r="E34" s="376">
        <f>'Indiv results Appl'!AM226</f>
        <v>257.9141801648195</v>
      </c>
      <c r="F34" s="374">
        <f>'Indiv results Appl'!AN226</f>
        <v>394406.53594771243</v>
      </c>
      <c r="G34" s="375">
        <f>'Indiv results Appl'!AO226</f>
        <v>10.397544919999062</v>
      </c>
      <c r="H34" s="374">
        <f>'Indiv results Appl'!AP226</f>
        <v>1094.6159432433942</v>
      </c>
      <c r="I34" s="374"/>
      <c r="J34" s="374"/>
    </row>
    <row r="35" spans="1:10" s="219" customFormat="1" ht="12.75">
      <c r="A35" s="219" t="s">
        <v>171</v>
      </c>
      <c r="B35" s="258">
        <v>77.3</v>
      </c>
      <c r="C35" s="374">
        <f>'Indiv results Appl'!AK227</f>
        <v>2247855.4090354093</v>
      </c>
      <c r="D35" s="374">
        <f>'Indiv results Appl'!AL227</f>
        <v>19207.3732718894</v>
      </c>
      <c r="E35" s="376">
        <f>'Indiv results Appl'!AM227</f>
        <v>323.1937144980623</v>
      </c>
      <c r="F35" s="374">
        <f>'Indiv results Appl'!AN227</f>
        <v>682785.811965812</v>
      </c>
      <c r="G35" s="375">
        <f>'Indiv results Appl'!AO227</f>
        <v>41.59281578636416</v>
      </c>
      <c r="H35" s="374">
        <f>'Indiv results Appl'!AP227</f>
        <v>1465.2258852258851</v>
      </c>
      <c r="I35" s="374"/>
      <c r="J35" s="374"/>
    </row>
    <row r="36" spans="1:10" s="219" customFormat="1" ht="12.75">
      <c r="A36" s="219" t="s">
        <v>172</v>
      </c>
      <c r="B36" s="258">
        <v>59.7</v>
      </c>
      <c r="C36" s="374">
        <f>'Indiv results Appl'!AK228</f>
        <v>208097.3529190207</v>
      </c>
      <c r="D36" s="374">
        <f>'Indiv results Appl'!AL228</f>
        <v>7060.024359017239</v>
      </c>
      <c r="E36" s="376">
        <f>'Indiv results Appl'!AM228</f>
        <v>123.70424957013019</v>
      </c>
      <c r="F36" s="376">
        <f>'Indiv results Appl'!AN228</f>
        <v>536.2229755178907</v>
      </c>
      <c r="G36" s="378">
        <f>'Indiv results Appl'!AO228</f>
        <v>2.7442642204807317</v>
      </c>
      <c r="H36" s="375">
        <f>'Indiv results Appl'!AP228</f>
        <v>95.22485875706214</v>
      </c>
      <c r="I36" s="374"/>
      <c r="J36" s="374"/>
    </row>
    <row r="37" spans="1:10" s="219" customFormat="1" ht="12.75">
      <c r="A37" s="219" t="s">
        <v>173</v>
      </c>
      <c r="B37" s="258">
        <v>85.2</v>
      </c>
      <c r="C37" s="374">
        <f>'Indiv results Appl'!AK229</f>
        <v>573123.1011235954</v>
      </c>
      <c r="D37" s="374">
        <f>'Indiv results Appl'!AL229</f>
        <v>12202.97209133744</v>
      </c>
      <c r="E37" s="376">
        <f>'Indiv results Appl'!AM229</f>
        <v>258.0687184497639</v>
      </c>
      <c r="F37" s="374">
        <f>'Indiv results Appl'!AN229</f>
        <v>24775.535580524345</v>
      </c>
      <c r="G37" s="376">
        <f>'Indiv results Appl'!AO229</f>
        <v>667.3915669928717</v>
      </c>
      <c r="H37" s="376">
        <f>'Indiv results Appl'!AP229</f>
        <v>119.54082397003745</v>
      </c>
      <c r="I37" s="374"/>
      <c r="J37" s="374"/>
    </row>
    <row r="38" spans="1:10" s="219" customFormat="1" ht="12.75">
      <c r="A38" s="219" t="s">
        <v>174</v>
      </c>
      <c r="B38" s="258">
        <v>60.5</v>
      </c>
      <c r="C38" s="374">
        <f>'Indiv results Appl'!AK230</f>
        <v>387032.8425624321</v>
      </c>
      <c r="D38" s="374">
        <f>'Indiv results Appl'!AL230</f>
        <v>8507.792075079</v>
      </c>
      <c r="E38" s="376">
        <f>'Indiv results Appl'!AM230</f>
        <v>141.01874144361045</v>
      </c>
      <c r="F38" s="374">
        <f>'Indiv results Appl'!AN230</f>
        <v>23699.59609120521</v>
      </c>
      <c r="G38" s="375">
        <f>'Indiv results Appl'!AO230</f>
        <v>63.624157939593466</v>
      </c>
      <c r="H38" s="376">
        <f>'Indiv results Appl'!AP230</f>
        <v>141.01368078175892</v>
      </c>
      <c r="I38" s="374"/>
      <c r="J38" s="374"/>
    </row>
    <row r="39" spans="1:10" s="219" customFormat="1" ht="12.75">
      <c r="A39" s="219" t="s">
        <v>175</v>
      </c>
      <c r="B39" s="258">
        <v>61.4</v>
      </c>
      <c r="C39" s="374">
        <f>'Indiv results Appl'!AK231</f>
        <v>1033991.0112659156</v>
      </c>
      <c r="D39" s="374">
        <f>'Indiv results Appl'!AL231</f>
        <v>18570.075256631637</v>
      </c>
      <c r="E39" s="376">
        <f>'Indiv results Appl'!AM231</f>
        <v>128.07841796054177</v>
      </c>
      <c r="F39" s="374">
        <f>'Indiv results Appl'!AN231</f>
        <v>162395.78428104793</v>
      </c>
      <c r="G39" s="378">
        <f>'Indiv results Appl'!AO231</f>
        <v>5.004684275528584</v>
      </c>
      <c r="H39" s="374">
        <f>'Indiv results Appl'!AP231</f>
        <v>1180.994600359976</v>
      </c>
      <c r="I39" s="374"/>
      <c r="J39" s="374"/>
    </row>
    <row r="40" spans="1:10" s="219" customFormat="1" ht="12.75">
      <c r="A40" s="219" t="s">
        <v>176</v>
      </c>
      <c r="B40" s="258">
        <v>57.7</v>
      </c>
      <c r="C40" s="374">
        <f>'Indiv results Appl'!AK232</f>
        <v>2422113.395744681</v>
      </c>
      <c r="D40" s="374">
        <f>'Indiv results Appl'!AL232</f>
        <v>29991.80050331732</v>
      </c>
      <c r="E40" s="374">
        <f>'Indiv results Appl'!AM232</f>
        <v>1111.9333950046255</v>
      </c>
      <c r="F40" s="374">
        <f>'Indiv results Appl'!AN232</f>
        <v>1015713.3957446809</v>
      </c>
      <c r="G40" s="375">
        <f>'Indiv results Appl'!AO232</f>
        <v>12.390757263784032</v>
      </c>
      <c r="H40" s="376">
        <f>'Indiv results Appl'!AP232</f>
        <v>262.15177304964544</v>
      </c>
      <c r="I40" s="374"/>
      <c r="J40" s="374"/>
    </row>
    <row r="41" spans="1:10" s="219" customFormat="1" ht="12.75">
      <c r="A41" s="219" t="s">
        <v>177</v>
      </c>
      <c r="B41" s="258">
        <v>76.2</v>
      </c>
      <c r="C41" s="374">
        <f>'Indiv results Appl'!AK233</f>
        <v>471903.38181316055</v>
      </c>
      <c r="D41" s="374">
        <f>'Indiv results Appl'!AL233</f>
        <v>3663.949579888108</v>
      </c>
      <c r="E41" s="375">
        <f>'Indiv results Appl'!AM233</f>
        <v>50.20667435926839</v>
      </c>
      <c r="F41" s="374">
        <f>'Indiv results Appl'!AN233</f>
        <v>2941.3360907639985</v>
      </c>
      <c r="G41" s="378">
        <f>'Indiv results Appl'!AO233</f>
        <v>5.239933173328045</v>
      </c>
      <c r="H41" s="374">
        <f>'Indiv results Appl'!AP233</f>
        <v>1568.9657387098948</v>
      </c>
      <c r="I41" s="374"/>
      <c r="J41" s="374"/>
    </row>
    <row r="42" spans="1:10" s="219" customFormat="1" ht="12.75">
      <c r="A42" s="219" t="s">
        <v>178</v>
      </c>
      <c r="B42" s="258">
        <v>71.1</v>
      </c>
      <c r="C42" s="374">
        <f>'Indiv results Appl'!AK234</f>
        <v>2009967.7575757576</v>
      </c>
      <c r="D42" s="374">
        <f>'Indiv results Appl'!AL234</f>
        <v>31738.304706046638</v>
      </c>
      <c r="E42" s="376">
        <f>'Indiv results Appl'!AM234</f>
        <v>395.7839262187088</v>
      </c>
      <c r="F42" s="374">
        <f>'Indiv results Appl'!AN234</f>
        <v>553798.0606060605</v>
      </c>
      <c r="G42" s="375">
        <f>'Indiv results Appl'!AO234</f>
        <v>25.78783223944514</v>
      </c>
      <c r="H42" s="376">
        <f>'Indiv results Appl'!AP234</f>
        <v>289.24675324675326</v>
      </c>
      <c r="I42" s="374"/>
      <c r="J42" s="374"/>
    </row>
    <row r="43" spans="1:10" s="219" customFormat="1" ht="12.75">
      <c r="A43" s="219" t="s">
        <v>179</v>
      </c>
      <c r="B43" s="258">
        <v>78.2</v>
      </c>
      <c r="C43" s="374">
        <f>'Indiv results Appl'!AK235</f>
        <v>1038869.5709570957</v>
      </c>
      <c r="D43" s="374">
        <f>'Indiv results Appl'!AL235</f>
        <v>16057.0046251937</v>
      </c>
      <c r="E43" s="376">
        <f>'Indiv results Appl'!AM235</f>
        <v>276.03195102118906</v>
      </c>
      <c r="F43" s="374">
        <f>'Indiv results Appl'!AN235</f>
        <v>223919.0759075907</v>
      </c>
      <c r="G43" s="375">
        <f>'Indiv results Appl'!AO235</f>
        <v>11.959260442173246</v>
      </c>
      <c r="H43" s="376">
        <f>'Indiv results Appl'!AP235</f>
        <v>215.09130913091306</v>
      </c>
      <c r="I43" s="374"/>
      <c r="J43" s="374"/>
    </row>
    <row r="44" spans="1:10" s="219" customFormat="1" ht="12.75">
      <c r="A44" s="219" t="s">
        <v>180</v>
      </c>
      <c r="B44" s="258">
        <v>83.4</v>
      </c>
      <c r="C44" s="374">
        <f>'Indiv results Appl'!AK236</f>
        <v>1194787.6069235066</v>
      </c>
      <c r="D44" s="374">
        <f>'Indiv results Appl'!AL236</f>
        <v>14595.520661042177</v>
      </c>
      <c r="E44" s="375">
        <f>'Indiv results Appl'!AM236</f>
        <v>57.29964037631407</v>
      </c>
      <c r="F44" s="374">
        <f>'Indiv results Appl'!AN236</f>
        <v>77012.95589056394</v>
      </c>
      <c r="G44" s="376">
        <f>'Indiv results Appl'!AO236</f>
        <v>269.207447032054</v>
      </c>
      <c r="H44" s="377"/>
      <c r="I44" s="374"/>
      <c r="J44" s="374"/>
    </row>
    <row r="45" spans="1:10" s="219" customFormat="1" ht="12.75">
      <c r="A45" s="219" t="s">
        <v>181</v>
      </c>
      <c r="B45" s="258">
        <v>80</v>
      </c>
      <c r="C45" s="374">
        <f>'Indiv results Appl'!AK237</f>
        <v>1655776.1666746195</v>
      </c>
      <c r="D45" s="374">
        <f>'Indiv results Appl'!AL237</f>
        <v>39453.12880804064</v>
      </c>
      <c r="E45" s="376">
        <f>'Indiv results Appl'!AM237</f>
        <v>628.1625315604831</v>
      </c>
      <c r="F45" s="374">
        <f>'Indiv results Appl'!AN237</f>
        <v>416306.65768001147</v>
      </c>
      <c r="G45" s="375">
        <f>'Indiv results Appl'!AO237</f>
        <v>41.91249773601963</v>
      </c>
      <c r="H45" s="374">
        <f>'Indiv results Appl'!AP237</f>
        <v>1797.6243021424823</v>
      </c>
      <c r="I45" s="374"/>
      <c r="J45" s="374"/>
    </row>
    <row r="46" spans="1:10" s="219" customFormat="1" ht="12.75">
      <c r="A46" s="219" t="s">
        <v>182</v>
      </c>
      <c r="B46" s="258">
        <v>57.6</v>
      </c>
      <c r="C46" s="374">
        <f>'Indiv results Appl'!AK238</f>
        <v>670237.9727095516</v>
      </c>
      <c r="D46" s="374">
        <f>'Indiv results Appl'!AL238</f>
        <v>29445.840407470285</v>
      </c>
      <c r="E46" s="374">
        <f>'Indiv results Appl'!AM238</f>
        <v>1105.1784049495718</v>
      </c>
      <c r="F46" s="374">
        <f>'Indiv results Appl'!AN238</f>
        <v>2842.2612085769974</v>
      </c>
      <c r="G46" s="378">
        <f>'Indiv results Appl'!AO238</f>
        <v>4.854429981764446</v>
      </c>
      <c r="H46" s="376">
        <f>'Indiv results Appl'!AP238</f>
        <v>413.00974658869393</v>
      </c>
      <c r="I46" s="374"/>
      <c r="J46" s="374"/>
    </row>
    <row r="47" spans="1:10" s="219" customFormat="1" ht="12.75">
      <c r="A47" s="219" t="s">
        <v>183</v>
      </c>
      <c r="B47" s="258">
        <v>65</v>
      </c>
      <c r="C47" s="374">
        <f>'Indiv results Appl'!AK239</f>
        <v>232968.5630979721</v>
      </c>
      <c r="D47" s="374">
        <f>'Indiv results Appl'!AL239</f>
        <v>2500.71149448583</v>
      </c>
      <c r="E47" s="376">
        <f>'Indiv results Appl'!AM239</f>
        <v>356.0433282850765</v>
      </c>
      <c r="F47" s="374">
        <f>'Indiv results Appl'!AN239</f>
        <v>7757.433382436813</v>
      </c>
      <c r="G47" s="378">
        <f>'Indiv results Appl'!AO239</f>
        <v>7.670676571054748</v>
      </c>
      <c r="H47" s="376">
        <f>'Indiv results Appl'!AP239</f>
        <v>149.79337671550348</v>
      </c>
      <c r="I47" s="374"/>
      <c r="J47" s="374"/>
    </row>
    <row r="48" spans="1:10" s="219" customFormat="1" ht="12.75">
      <c r="A48" s="219" t="s">
        <v>184</v>
      </c>
      <c r="B48" s="258">
        <v>75.2</v>
      </c>
      <c r="C48" s="374">
        <f>'Indiv results Appl'!AK240</f>
        <v>1437079.5658914729</v>
      </c>
      <c r="D48" s="374">
        <f>'Indiv results Appl'!AL240</f>
        <v>21424.623946248736</v>
      </c>
      <c r="E48" s="376">
        <f>'Indiv results Appl'!AM240</f>
        <v>225.95214020896526</v>
      </c>
      <c r="F48" s="374">
        <f>'Indiv results Appl'!AN240</f>
        <v>275594.29457364336</v>
      </c>
      <c r="G48" s="375">
        <f>'Indiv results Appl'!AO240</f>
        <v>50.179211469534046</v>
      </c>
      <c r="H48" s="376">
        <f>'Indiv results Appl'!AP240</f>
        <v>328.30697674418604</v>
      </c>
      <c r="I48" s="374"/>
      <c r="J48" s="374"/>
    </row>
    <row r="49" spans="1:10" s="219" customFormat="1" ht="12.75">
      <c r="A49" s="219" t="s">
        <v>185</v>
      </c>
      <c r="B49" s="258">
        <v>74.2</v>
      </c>
      <c r="C49" s="374">
        <f>'Indiv results Appl'!AK241</f>
        <v>1709262.3784261716</v>
      </c>
      <c r="D49" s="374">
        <f>'Indiv results Appl'!AL241</f>
        <v>36780.244730436294</v>
      </c>
      <c r="E49" s="376">
        <f>'Indiv results Appl'!AM241</f>
        <v>274.213443166601</v>
      </c>
      <c r="F49" s="374">
        <f>'Indiv results Appl'!AN241</f>
        <v>37851.467072731444</v>
      </c>
      <c r="G49" s="375">
        <f>'Indiv results Appl'!AO241</f>
        <v>27.720646309201495</v>
      </c>
      <c r="H49" s="374">
        <f>'Indiv results Appl'!AP241</f>
        <v>1514.598095794677</v>
      </c>
      <c r="I49" s="374"/>
      <c r="J49" s="374"/>
    </row>
    <row r="50" spans="1:10" s="219" customFormat="1" ht="12.75">
      <c r="A50" s="219" t="s">
        <v>186</v>
      </c>
      <c r="B50" s="258">
        <v>82.8</v>
      </c>
      <c r="C50" s="374">
        <f>'Indiv results Appl'!AK242</f>
        <v>455908.39406207827</v>
      </c>
      <c r="D50" s="374">
        <f>'Indiv results Appl'!AL242</f>
        <v>11190.026701962759</v>
      </c>
      <c r="E50" s="376">
        <f>'Indiv results Appl'!AM242</f>
        <v>404.8582995951417</v>
      </c>
      <c r="F50" s="374">
        <f>'Indiv results Appl'!AN242</f>
        <v>4835.069725596041</v>
      </c>
      <c r="G50" s="378">
        <f>'Indiv results Appl'!AO242</f>
        <v>9.670163829756358</v>
      </c>
      <c r="H50" s="374">
        <f>'Indiv results Appl'!AP242</f>
        <v>1999.8650472334682</v>
      </c>
      <c r="I50" s="374"/>
      <c r="J50" s="374"/>
    </row>
    <row r="51" spans="1:10" s="219" customFormat="1" ht="12.75">
      <c r="A51" s="219" t="s">
        <v>187</v>
      </c>
      <c r="B51" s="258">
        <v>85</v>
      </c>
      <c r="C51" s="374">
        <f>'Indiv results Appl'!AK243</f>
        <v>314476.62360224634</v>
      </c>
      <c r="D51" s="374">
        <f>'Indiv results Appl'!AL243</f>
        <v>5116.3887817475</v>
      </c>
      <c r="E51" s="375">
        <f>'Indiv results Appl'!AM243</f>
        <v>74.15329768270944</v>
      </c>
      <c r="F51" s="376">
        <f>'Indiv results Appl'!AN243</f>
        <v>489.31522434975943</v>
      </c>
      <c r="G51" s="378">
        <f>'Indiv results Appl'!AO243</f>
        <v>8.335345868552698</v>
      </c>
      <c r="H51" s="376">
        <f>'Indiv results Appl'!AP243</f>
        <v>327.98431372549015</v>
      </c>
      <c r="I51" s="374"/>
      <c r="J51" s="374"/>
    </row>
    <row r="52" spans="1:10" s="219" customFormat="1" ht="12.75">
      <c r="A52" s="219" t="s">
        <v>188</v>
      </c>
      <c r="B52" s="258">
        <v>86.5</v>
      </c>
      <c r="C52" s="374">
        <f>'Indiv results Appl'!AK244</f>
        <v>800562.3033252232</v>
      </c>
      <c r="D52" s="374">
        <f>'Indiv results Appl'!AL244</f>
        <v>49654.08262041179</v>
      </c>
      <c r="E52" s="374">
        <f>'Indiv results Appl'!AM244</f>
        <v>1248.9862124898623</v>
      </c>
      <c r="F52" s="374">
        <f>'Indiv results Appl'!AN244</f>
        <v>5447.948094079481</v>
      </c>
      <c r="G52" s="376">
        <f>'Indiv results Appl'!AO244</f>
        <v>224.85588956038688</v>
      </c>
      <c r="H52" s="374">
        <f>'Indiv results Appl'!AP244</f>
        <v>2116.788321167883</v>
      </c>
      <c r="I52" s="374"/>
      <c r="J52" s="374"/>
    </row>
    <row r="53" spans="1:10" s="219" customFormat="1" ht="12.75">
      <c r="A53" s="223" t="s">
        <v>209</v>
      </c>
      <c r="B53" s="244">
        <v>82</v>
      </c>
      <c r="C53" s="373">
        <f>'Indiv results Appl'!AK265</f>
        <v>7477.996146435452</v>
      </c>
      <c r="D53" s="373">
        <f>'Indiv results Appl'!AL265</f>
        <v>5898.066417318372</v>
      </c>
      <c r="E53" s="372">
        <f>'Indiv results Appl'!AM265</f>
        <v>320.9792587555253</v>
      </c>
      <c r="F53" s="372">
        <f>'Indiv results Appl'!AN265</f>
        <v>669.4276323246061</v>
      </c>
      <c r="G53" s="368">
        <f>'Indiv results Appl'!AO265</f>
        <v>2.868260984547961</v>
      </c>
      <c r="H53" s="372">
        <f>'Indiv results Appl'!AP265</f>
        <v>269.5228380369489</v>
      </c>
      <c r="I53" s="373"/>
      <c r="J53" s="373"/>
    </row>
    <row r="54" spans="1:10" s="219" customFormat="1" ht="12.75">
      <c r="A54" s="223" t="s">
        <v>210</v>
      </c>
      <c r="B54" s="244">
        <v>80.5</v>
      </c>
      <c r="C54" s="373">
        <f>'Indiv results Appl'!AK266</f>
        <v>71941.55399104812</v>
      </c>
      <c r="D54" s="373">
        <f>'Indiv results Appl'!AL266</f>
        <v>41068.14155165983</v>
      </c>
      <c r="E54" s="372">
        <f>'Indiv results Appl'!AM266</f>
        <v>192.01730216216868</v>
      </c>
      <c r="F54" s="372">
        <f>'Indiv results Appl'!AN266</f>
        <v>824.2003916449087</v>
      </c>
      <c r="G54" s="372">
        <f>'Indiv results Appl'!AO266</f>
        <v>486.269116001492</v>
      </c>
      <c r="H54" s="373">
        <f>'Indiv results Appl'!AP266</f>
        <v>1431.4423256247671</v>
      </c>
      <c r="I54" s="373"/>
      <c r="J54" s="373"/>
    </row>
    <row r="55" spans="1:10" s="219" customFormat="1" ht="12.75">
      <c r="A55" s="223" t="s">
        <v>211</v>
      </c>
      <c r="B55" s="244">
        <v>63.3</v>
      </c>
      <c r="C55" s="373">
        <f>'Indiv results Appl'!AK267</f>
        <v>89016.85990338164</v>
      </c>
      <c r="D55" s="373">
        <f>'Indiv results Appl'!AL267</f>
        <v>34475.555555555555</v>
      </c>
      <c r="E55" s="372">
        <f>'Indiv results Appl'!AM267</f>
        <v>105.60490364136928</v>
      </c>
      <c r="F55" s="373">
        <f>'Indiv results Appl'!AN267</f>
        <v>1338.1159420289855</v>
      </c>
      <c r="G55" s="369">
        <f>'Indiv results Appl'!AO267</f>
        <v>31.11111111111111</v>
      </c>
      <c r="H55" s="372">
        <f>'Indiv results Appl'!AP267</f>
        <v>785.2415458937198</v>
      </c>
      <c r="I55" s="373"/>
      <c r="J55" s="373"/>
    </row>
    <row r="56" spans="1:10" s="219" customFormat="1" ht="12.75">
      <c r="A56" s="223" t="s">
        <v>212</v>
      </c>
      <c r="B56" s="244">
        <v>79.9</v>
      </c>
      <c r="C56" s="373">
        <f>'Indiv results Appl'!AK268</f>
        <v>24532.643081245038</v>
      </c>
      <c r="D56" s="373">
        <f>'Indiv results Appl'!AL268</f>
        <v>7808.295526166378</v>
      </c>
      <c r="E56" s="372">
        <f>'Indiv results Appl'!AM268</f>
        <v>171.4328163427403</v>
      </c>
      <c r="F56" s="373">
        <f>'Indiv results Appl'!AN268</f>
        <v>1483.727291826186</v>
      </c>
      <c r="G56" s="368">
        <f>'Indiv results Appl'!AO268</f>
        <v>3.7850573575090847</v>
      </c>
      <c r="H56" s="373">
        <f>'Indiv results Appl'!AP268</f>
        <v>1336.8371157862935</v>
      </c>
      <c r="I56" s="373"/>
      <c r="J56" s="373"/>
    </row>
    <row r="57" spans="1:10" s="219" customFormat="1" ht="12.75">
      <c r="A57" s="223" t="s">
        <v>213</v>
      </c>
      <c r="B57" s="244">
        <v>81.9</v>
      </c>
      <c r="C57" s="373">
        <f>'Indiv results Appl'!AK269</f>
        <v>10019.188304093566</v>
      </c>
      <c r="D57" s="373">
        <f>'Indiv results Appl'!AL269</f>
        <v>6644.374269005848</v>
      </c>
      <c r="E57" s="369">
        <f>'Indiv results Appl'!AM269</f>
        <v>67.81110482298936</v>
      </c>
      <c r="F57" s="372">
        <f>'Indiv results Appl'!AN269</f>
        <v>231.46900584795318</v>
      </c>
      <c r="G57" s="369">
        <f>'Indiv results Appl'!AO269</f>
        <v>22.152046783625728</v>
      </c>
      <c r="H57" s="372">
        <f>'Indiv results Appl'!AP269</f>
        <v>135.5029239766082</v>
      </c>
      <c r="I57" s="373"/>
      <c r="J57" s="373"/>
    </row>
    <row r="58" spans="1:10" s="219" customFormat="1" ht="12.75">
      <c r="A58" s="223" t="s">
        <v>214</v>
      </c>
      <c r="B58" s="244">
        <v>95</v>
      </c>
      <c r="C58" s="373">
        <f>'Indiv results Appl'!AK270</f>
        <v>24394.57648953301</v>
      </c>
      <c r="D58" s="373">
        <f>'Indiv results Appl'!AL270</f>
        <v>11297.294685990339</v>
      </c>
      <c r="E58" s="369">
        <f>'Indiv results Appl'!AM270</f>
        <v>52.03539210084324</v>
      </c>
      <c r="F58" s="372">
        <f>'Indiv results Appl'!AN270</f>
        <v>1287.6521739130435</v>
      </c>
      <c r="G58" s="368">
        <f>'Indiv results Appl'!AO270</f>
        <v>9.049919484702095</v>
      </c>
      <c r="H58" s="373">
        <f>'Indiv results Appl'!AP270</f>
        <v>1169.3397745571658</v>
      </c>
      <c r="I58" s="373"/>
      <c r="J58" s="373"/>
    </row>
    <row r="59" spans="1:10" s="219" customFormat="1" ht="12.75">
      <c r="A59" s="223" t="s">
        <v>215</v>
      </c>
      <c r="B59" s="244">
        <v>83</v>
      </c>
      <c r="C59" s="373">
        <f>'Indiv results Appl'!AK271</f>
        <v>141157.00374531833</v>
      </c>
      <c r="D59" s="373">
        <f>'Indiv results Appl'!AL271</f>
        <v>24193.183520599247</v>
      </c>
      <c r="E59" s="372">
        <f>'Indiv results Appl'!AM271</f>
        <v>233.0957271152994</v>
      </c>
      <c r="F59" s="373">
        <f>'Indiv results Appl'!AN271</f>
        <v>2210.686641697878</v>
      </c>
      <c r="G59" s="369">
        <f>'Indiv results Appl'!AO271</f>
        <v>15.905118601747814</v>
      </c>
      <c r="H59" s="373">
        <f>'Indiv results Appl'!AP271</f>
        <v>2076.704119850187</v>
      </c>
      <c r="I59" s="373"/>
      <c r="J59" s="373"/>
    </row>
    <row r="60" spans="1:10" s="219" customFormat="1" ht="12.75">
      <c r="A60" s="223" t="s">
        <v>216</v>
      </c>
      <c r="B60" s="244">
        <v>74.1</v>
      </c>
      <c r="C60" s="373">
        <f>'Indiv results Appl'!AK272</f>
        <v>308160.35714285716</v>
      </c>
      <c r="D60" s="373">
        <f>'Indiv results Appl'!AL272</f>
        <v>17950.199999999997</v>
      </c>
      <c r="E60" s="372">
        <f>'Indiv results Appl'!AM272</f>
        <v>431.4285714285714</v>
      </c>
      <c r="F60" s="373">
        <f>'Indiv results Appl'!AN272</f>
        <v>2204.642857142857</v>
      </c>
      <c r="G60" s="369">
        <f>'Indiv results Appl'!AO272</f>
        <v>21.628571428571426</v>
      </c>
      <c r="H60" s="373">
        <f>'Indiv results Appl'!AP272</f>
        <v>1562.3882783882782</v>
      </c>
      <c r="I60" s="373"/>
      <c r="J60" s="373"/>
    </row>
    <row r="61" spans="1:10" s="219" customFormat="1" ht="12.75">
      <c r="A61" s="223" t="s">
        <v>217</v>
      </c>
      <c r="B61" s="244">
        <v>87.9</v>
      </c>
      <c r="C61" s="373">
        <f>'Indiv results Appl'!AK273</f>
        <v>154624.62693264964</v>
      </c>
      <c r="D61" s="373">
        <f>'Indiv results Appl'!AL273</f>
        <v>24072.30992988745</v>
      </c>
      <c r="E61" s="372">
        <f>'Indiv results Appl'!AM273</f>
        <v>147.50999923630698</v>
      </c>
      <c r="F61" s="373">
        <f>'Indiv results Appl'!AN273</f>
        <v>1471.1026852811867</v>
      </c>
      <c r="G61" s="369">
        <f>'Indiv results Appl'!AO273</f>
        <v>17.168298250267245</v>
      </c>
      <c r="H61" s="372">
        <f>'Indiv results Appl'!AP273</f>
        <v>143.8998464864691</v>
      </c>
      <c r="I61" s="373"/>
      <c r="J61" s="373"/>
    </row>
    <row r="62" spans="1:10" s="219" customFormat="1" ht="12.75">
      <c r="A62" s="223" t="s">
        <v>218</v>
      </c>
      <c r="B62" s="244">
        <v>61.4</v>
      </c>
      <c r="C62" s="373">
        <f>'Indiv results Appl'!AK274</f>
        <v>39585.79881656805</v>
      </c>
      <c r="D62" s="373">
        <f>'Indiv results Appl'!AL274</f>
        <v>17523.66863905326</v>
      </c>
      <c r="E62" s="369">
        <f>'Indiv results Appl'!AM274</f>
        <v>46.689303904923605</v>
      </c>
      <c r="F62" s="373">
        <f>'Indiv results Appl'!AN274</f>
        <v>1650.1868576767365</v>
      </c>
      <c r="G62" s="368">
        <f>'Indiv results Appl'!AO274</f>
        <v>5.761445032700094</v>
      </c>
      <c r="H62" s="372">
        <f>'Indiv results Appl'!AP274</f>
        <v>252.37270320772348</v>
      </c>
      <c r="I62" s="373"/>
      <c r="J62" s="373"/>
    </row>
    <row r="63" spans="1:10" s="219" customFormat="1" ht="12.75">
      <c r="A63" s="219" t="s">
        <v>219</v>
      </c>
      <c r="B63" s="245">
        <v>62</v>
      </c>
      <c r="C63" s="364">
        <f>'Indiv results Appl'!AK35</f>
        <v>372977.4492753623</v>
      </c>
      <c r="D63" s="364">
        <f>'Indiv results Appl'!AL35</f>
        <v>9574.666666666666</v>
      </c>
      <c r="E63" s="366">
        <f>'Indiv results Appl'!AM35</f>
        <v>510.7692307692308</v>
      </c>
      <c r="F63" s="364">
        <f>'Indiv results Appl'!AN35</f>
        <v>21160.615384615383</v>
      </c>
      <c r="G63" s="365"/>
      <c r="H63" s="366">
        <f>'Indiv results Appl'!AP35</f>
        <v>300.78728782954136</v>
      </c>
      <c r="I63" s="364"/>
      <c r="J63" s="364">
        <f>'Indiv results Appl'!AR35</f>
        <v>255729.01003344482</v>
      </c>
    </row>
    <row r="64" spans="1:10" s="219" customFormat="1" ht="12.75">
      <c r="A64" s="219" t="s">
        <v>220</v>
      </c>
      <c r="B64" s="245">
        <v>78</v>
      </c>
      <c r="C64" s="364">
        <f>'Indiv results Appl'!AK36</f>
        <v>53387.87117552334</v>
      </c>
      <c r="D64" s="364">
        <f>'Indiv results Appl'!AL36</f>
        <v>3885.8389906389903</v>
      </c>
      <c r="E64" s="366">
        <f>'Indiv results Appl'!AM36</f>
        <v>390.8148148148148</v>
      </c>
      <c r="F64" s="364">
        <f>'Indiv results Appl'!AN36</f>
        <v>1515.4074074074072</v>
      </c>
      <c r="G64" s="367">
        <f>'Indiv results Appl'!AO36</f>
        <v>65.57037037037037</v>
      </c>
      <c r="H64" s="366">
        <f>'Indiv results Appl'!AP36</f>
        <v>419.64527908189876</v>
      </c>
      <c r="I64" s="364"/>
      <c r="J64" s="364">
        <f>'Indiv results Appl'!AR36</f>
        <v>38594.87600644122</v>
      </c>
    </row>
    <row r="65" spans="1:10" s="219" customFormat="1" ht="12.75">
      <c r="A65" s="219" t="s">
        <v>221</v>
      </c>
      <c r="B65" s="245">
        <v>90</v>
      </c>
      <c r="C65" s="364">
        <f>'Indiv results Appl'!AK37</f>
        <v>382502.55072463764</v>
      </c>
      <c r="D65" s="367">
        <f>'Indiv results Appl'!AL37</f>
        <v>84.39999999999999</v>
      </c>
      <c r="E65" s="366">
        <f>'Indiv results Appl'!AM37</f>
        <v>439.77777777777777</v>
      </c>
      <c r="F65" s="364">
        <f>'Indiv results Appl'!AN37</f>
        <v>15467.888888888887</v>
      </c>
      <c r="G65" s="367">
        <f>'Indiv results Appl'!AO37</f>
        <v>84.39999999999999</v>
      </c>
      <c r="H65" s="366">
        <f>'Indiv results Appl'!AP37</f>
        <v>477.206572769953</v>
      </c>
      <c r="I65" s="364"/>
      <c r="J65" s="364">
        <f>'Indiv results Appl'!AR37</f>
        <v>309046.3913043478</v>
      </c>
    </row>
    <row r="66" spans="1:10" s="219" customFormat="1" ht="12.75">
      <c r="A66" s="219" t="s">
        <v>222</v>
      </c>
      <c r="B66" s="245">
        <v>92</v>
      </c>
      <c r="C66" s="364">
        <f>'Indiv results Appl'!AK38</f>
        <v>879535.1304347826</v>
      </c>
      <c r="D66" s="364">
        <f>'Indiv results Appl'!AL38</f>
        <v>20581.22222222222</v>
      </c>
      <c r="E66" s="364">
        <f>'Indiv results Appl'!AM38</f>
        <v>2946.222222222222</v>
      </c>
      <c r="F66" s="364">
        <f>'Indiv results Appl'!AN38</f>
        <v>211248.77777777775</v>
      </c>
      <c r="G66" s="364"/>
      <c r="H66" s="366">
        <f>'Indiv results Appl'!AP38</f>
        <v>773.1064162754303</v>
      </c>
      <c r="I66" s="364"/>
      <c r="J66" s="364">
        <f>'Indiv results Appl'!AR38</f>
        <v>583412.1835748792</v>
      </c>
    </row>
    <row r="67" spans="1:10" s="219" customFormat="1" ht="12.75">
      <c r="A67" s="219" t="s">
        <v>223</v>
      </c>
      <c r="B67" s="245">
        <v>100</v>
      </c>
      <c r="C67" s="364">
        <f>'Indiv results Appl'!AK39</f>
        <v>364983.56457800505</v>
      </c>
      <c r="D67" s="364">
        <f>'Indiv results Appl'!AL39</f>
        <v>10282.279411764704</v>
      </c>
      <c r="E67" s="366">
        <f>'Indiv results Appl'!AM39</f>
        <v>328.52941176470586</v>
      </c>
      <c r="F67" s="364">
        <f>'Indiv results Appl'!AN39</f>
        <v>80175.22058823529</v>
      </c>
      <c r="G67" s="364"/>
      <c r="H67" s="366">
        <f>'Indiv results Appl'!AP39</f>
        <v>672.5921706710853</v>
      </c>
      <c r="I67" s="364"/>
      <c r="J67" s="364">
        <f>'Indiv results Appl'!AR39</f>
        <v>268917.10837595904</v>
      </c>
    </row>
    <row r="68" spans="1:10" s="219" customFormat="1" ht="12.75">
      <c r="A68" s="219" t="s">
        <v>224</v>
      </c>
      <c r="B68" s="245">
        <v>67</v>
      </c>
      <c r="C68" s="364">
        <f>'Indiv results Appl'!AK40</f>
        <v>386158.9449275362</v>
      </c>
      <c r="D68" s="364">
        <f>'Indiv results Appl'!AL40</f>
        <v>26322.13333333333</v>
      </c>
      <c r="E68" s="364">
        <f>'Indiv results Appl'!AM40</f>
        <v>1103.7333333333333</v>
      </c>
      <c r="F68" s="364">
        <f>'Indiv results Appl'!AN40</f>
        <v>11015.466666666667</v>
      </c>
      <c r="G68" s="364"/>
      <c r="H68" s="366">
        <f>'Indiv results Appl'!AP40</f>
        <v>925.8215962441313</v>
      </c>
      <c r="I68" s="364"/>
      <c r="J68" s="364">
        <f>'Indiv results Appl'!AR40</f>
        <v>256056.11884057967</v>
      </c>
    </row>
    <row r="69" spans="1:10" s="219" customFormat="1" ht="12.75">
      <c r="A69" s="219" t="s">
        <v>225</v>
      </c>
      <c r="B69" s="245">
        <v>80</v>
      </c>
      <c r="C69" s="364">
        <f>'Indiv results Appl'!AK41</f>
        <v>82387.73496836549</v>
      </c>
      <c r="D69" s="364">
        <f>'Indiv results Appl'!AL41</f>
        <v>12906.36042402827</v>
      </c>
      <c r="E69" s="366">
        <f>'Indiv results Appl'!AM41</f>
        <v>176.0070671378092</v>
      </c>
      <c r="F69" s="366">
        <f>'Indiv results Appl'!AN41</f>
        <v>638.4699646643111</v>
      </c>
      <c r="G69" s="364"/>
      <c r="H69" s="365">
        <f>'Indiv results Appl'!AP41</f>
        <v>1.1138423721001693</v>
      </c>
      <c r="I69" s="364"/>
      <c r="J69" s="364">
        <f>'Indiv results Appl'!AR41</f>
        <v>73899.50974873953</v>
      </c>
    </row>
    <row r="70" spans="1:10" s="219" customFormat="1" ht="12.75">
      <c r="A70" s="219" t="s">
        <v>226</v>
      </c>
      <c r="B70" s="245">
        <v>74</v>
      </c>
      <c r="C70" s="364">
        <f>'Indiv results Appl'!AK42</f>
        <v>305158.88364389224</v>
      </c>
      <c r="D70" s="364">
        <f>'Indiv results Appl'!AL42</f>
        <v>70978.66666666667</v>
      </c>
      <c r="E70" s="366">
        <f>'Indiv results Appl'!AM42</f>
        <v>809.5238095238095</v>
      </c>
      <c r="F70" s="364">
        <f>'Indiv results Appl'!AN42</f>
        <v>8235.695238095239</v>
      </c>
      <c r="G70" s="364"/>
      <c r="H70" s="366">
        <f>'Indiv results Appl'!AP42</f>
        <v>762.4413145539905</v>
      </c>
      <c r="I70" s="364"/>
      <c r="J70" s="364">
        <f>'Indiv results Appl'!AR42</f>
        <v>198949.77391304346</v>
      </c>
    </row>
    <row r="71" spans="1:10" s="219" customFormat="1" ht="12.75">
      <c r="A71" s="219" t="s">
        <v>227</v>
      </c>
      <c r="B71" s="245">
        <v>85</v>
      </c>
      <c r="C71" s="364">
        <f>'Indiv results Appl'!AK43</f>
        <v>82112.05006587616</v>
      </c>
      <c r="D71" s="364">
        <f>'Indiv results Appl'!AL43</f>
        <v>6592.606060606061</v>
      </c>
      <c r="E71" s="366">
        <f>'Indiv results Appl'!AM43</f>
        <v>112.80000000000001</v>
      </c>
      <c r="F71" s="364">
        <f>'Indiv results Appl'!AN43</f>
        <v>1260.6666666666667</v>
      </c>
      <c r="G71" s="364"/>
      <c r="H71" s="366">
        <f>'Indiv results Appl'!AP43</f>
        <v>120.15877080665814</v>
      </c>
      <c r="I71" s="364"/>
      <c r="J71" s="364">
        <f>'Indiv results Appl'!AR43</f>
        <v>66287.21475625824</v>
      </c>
    </row>
    <row r="72" spans="1:10" s="219" customFormat="1" ht="12.75">
      <c r="A72" s="219" t="s">
        <v>228</v>
      </c>
      <c r="B72" s="245">
        <v>80</v>
      </c>
      <c r="C72" s="364">
        <f>'Indiv results Appl'!AK44</f>
        <v>77406.677294686</v>
      </c>
      <c r="D72" s="364">
        <f>'Indiv results Appl'!AL44</f>
        <v>9719.925925925925</v>
      </c>
      <c r="E72" s="366">
        <f>'Indiv results Appl'!AM44</f>
        <v>352.44444444444446</v>
      </c>
      <c r="F72" s="366">
        <f>'Indiv results Appl'!AN44</f>
        <v>731.637037037037</v>
      </c>
      <c r="G72" s="364"/>
      <c r="H72" s="366">
        <f>'Indiv results Appl'!AP44</f>
        <v>523.1194574856546</v>
      </c>
      <c r="I72" s="364"/>
      <c r="J72" s="364">
        <f>'Indiv results Appl'!AR44</f>
        <v>59223.54524959743</v>
      </c>
    </row>
    <row r="73" spans="1:10" s="219" customFormat="1" ht="12.75">
      <c r="A73" s="246" t="s">
        <v>347</v>
      </c>
      <c r="B73" s="244">
        <v>87</v>
      </c>
      <c r="C73" s="379" t="s">
        <v>110</v>
      </c>
      <c r="D73" s="379"/>
      <c r="E73" s="372">
        <f>'Indiv results Appl'!AM3</f>
        <v>151.4857142857143</v>
      </c>
      <c r="F73" s="372"/>
      <c r="G73" s="369">
        <f>'Indiv results Appl'!AO3</f>
        <v>55.714285714285715</v>
      </c>
      <c r="H73" s="372">
        <f>'Indiv results Appl'!AP3</f>
        <v>815.7344064386318</v>
      </c>
      <c r="I73" s="220"/>
      <c r="J73" s="221"/>
    </row>
    <row r="74" spans="1:10" s="219" customFormat="1" ht="12.75">
      <c r="A74" s="246" t="s">
        <v>348</v>
      </c>
      <c r="B74" s="244">
        <v>95</v>
      </c>
      <c r="C74" s="379" t="s">
        <v>110</v>
      </c>
      <c r="D74" s="379"/>
      <c r="E74" s="372">
        <f>'Indiv results Appl'!AM4</f>
        <v>523.2380952380952</v>
      </c>
      <c r="F74" s="372"/>
      <c r="G74" s="372">
        <f>'Indiv results Appl'!AO4</f>
        <v>257.23809523809524</v>
      </c>
      <c r="H74" s="373">
        <f>'Indiv results Appl'!AP4</f>
        <v>4267.142857142858</v>
      </c>
      <c r="I74" s="220"/>
      <c r="J74" s="221"/>
    </row>
    <row r="75" spans="1:10" s="219" customFormat="1" ht="12.75">
      <c r="A75" s="246" t="s">
        <v>349</v>
      </c>
      <c r="B75" s="244">
        <v>90</v>
      </c>
      <c r="C75" s="379" t="s">
        <v>110</v>
      </c>
      <c r="D75" s="379"/>
      <c r="E75" s="372">
        <f>'Indiv results Appl'!AM5</f>
        <v>505.0505050505051</v>
      </c>
      <c r="F75" s="372"/>
      <c r="G75" s="373">
        <f>'Indiv results Appl'!AO5</f>
        <v>1093.939393939394</v>
      </c>
      <c r="H75" s="372">
        <f>'Indiv results Appl'!AP5</f>
        <v>599.6798975672216</v>
      </c>
      <c r="I75" s="220"/>
      <c r="J75" s="221"/>
    </row>
    <row r="76" spans="1:10" s="219" customFormat="1" ht="12.75">
      <c r="A76" s="246" t="s">
        <v>350</v>
      </c>
      <c r="B76" s="244">
        <v>88</v>
      </c>
      <c r="C76" s="379" t="s">
        <v>110</v>
      </c>
      <c r="D76" s="379"/>
      <c r="E76" s="373">
        <f>'Indiv results Appl'!AM6</f>
        <v>1786.0000000000002</v>
      </c>
      <c r="F76" s="372"/>
      <c r="G76" s="372">
        <f>'Indiv results Appl'!AO6</f>
        <v>395.7142857142857</v>
      </c>
      <c r="H76" s="373">
        <f>'Indiv results Appl'!AP6</f>
        <v>1127.0321931589538</v>
      </c>
      <c r="I76" s="220"/>
      <c r="J76" s="221"/>
    </row>
    <row r="77" spans="1:10" s="219" customFormat="1" ht="12.75">
      <c r="A77" s="246" t="s">
        <v>351</v>
      </c>
      <c r="B77" s="244">
        <v>85</v>
      </c>
      <c r="C77" s="379" t="s">
        <v>110</v>
      </c>
      <c r="D77" s="379"/>
      <c r="E77" s="372">
        <f>'Indiv results Appl'!AM7</f>
        <v>146.93333333333334</v>
      </c>
      <c r="F77" s="372"/>
      <c r="G77" s="372">
        <f>'Indiv results Appl'!AO7</f>
        <v>641.7333333333333</v>
      </c>
      <c r="H77" s="372">
        <f>'Indiv results Appl'!AP7</f>
        <v>699.8122065727699</v>
      </c>
      <c r="I77" s="220"/>
      <c r="J77" s="221"/>
    </row>
    <row r="78" spans="1:10" s="219" customFormat="1" ht="12.75">
      <c r="A78" s="246" t="s">
        <v>352</v>
      </c>
      <c r="B78" s="244">
        <v>87</v>
      </c>
      <c r="C78" s="379" t="s">
        <v>110</v>
      </c>
      <c r="D78" s="379"/>
      <c r="E78" s="372">
        <f>'Indiv results Appl'!AM8</f>
        <v>266.6666666666667</v>
      </c>
      <c r="F78" s="372"/>
      <c r="G78" s="372"/>
      <c r="H78" s="372">
        <f>'Indiv results Appl'!AP8</f>
        <v>315.86854460093895</v>
      </c>
      <c r="I78" s="220"/>
      <c r="J78" s="221"/>
    </row>
    <row r="79" spans="1:10" s="219" customFormat="1" ht="12.75">
      <c r="A79" s="246" t="s">
        <v>353</v>
      </c>
      <c r="B79" s="244">
        <v>67</v>
      </c>
      <c r="C79" s="379" t="s">
        <v>110</v>
      </c>
      <c r="D79" s="379"/>
      <c r="E79" s="373">
        <f>'Indiv results Appl'!AM9</f>
        <v>1177.3529411764705</v>
      </c>
      <c r="F79" s="372"/>
      <c r="G79" s="373">
        <f>'Indiv results Appl'!AO9</f>
        <v>1397.0588235294117</v>
      </c>
      <c r="H79" s="373">
        <f>'Indiv results Appl'!AP9</f>
        <v>1656.2289915966385</v>
      </c>
      <c r="I79" s="220"/>
      <c r="J79" s="221"/>
    </row>
    <row r="80" spans="1:10" s="219" customFormat="1" ht="12.75">
      <c r="A80" s="246" t="s">
        <v>354</v>
      </c>
      <c r="B80" s="244">
        <v>83</v>
      </c>
      <c r="C80" s="379" t="s">
        <v>110</v>
      </c>
      <c r="D80" s="379"/>
      <c r="E80" s="372">
        <f>'Indiv results Appl'!AM10</f>
        <v>677.5342465753425</v>
      </c>
      <c r="F80" s="372"/>
      <c r="G80" s="372"/>
      <c r="H80" s="373">
        <f>'Indiv results Appl'!AP10</f>
        <v>1050.6288039569922</v>
      </c>
      <c r="I80" s="220"/>
      <c r="J80" s="221"/>
    </row>
    <row r="81" spans="1:10" s="219" customFormat="1" ht="12.75">
      <c r="A81" s="246" t="s">
        <v>355</v>
      </c>
      <c r="B81" s="244">
        <v>74</v>
      </c>
      <c r="C81" s="379" t="s">
        <v>110</v>
      </c>
      <c r="D81" s="379"/>
      <c r="E81" s="372">
        <f>'Indiv results Appl'!AM11</f>
        <v>492.6315789473684</v>
      </c>
      <c r="F81" s="372"/>
      <c r="G81" s="372"/>
      <c r="H81" s="372">
        <f>'Indiv results Appl'!AP11</f>
        <v>707.8020756115641</v>
      </c>
      <c r="I81" s="220"/>
      <c r="J81" s="221"/>
    </row>
    <row r="82" spans="1:10" s="219" customFormat="1" ht="12.75">
      <c r="A82" s="246" t="s">
        <v>356</v>
      </c>
      <c r="B82" s="244">
        <v>83</v>
      </c>
      <c r="C82" s="379" t="s">
        <v>110</v>
      </c>
      <c r="D82" s="379"/>
      <c r="E82" s="372">
        <f>'Indiv results Appl'!AM12</f>
        <v>234.83870967741936</v>
      </c>
      <c r="F82" s="372"/>
      <c r="G82" s="372"/>
      <c r="H82" s="372">
        <f>'Indiv results Appl'!AP12</f>
        <v>331.59170074208686</v>
      </c>
      <c r="I82" s="220"/>
      <c r="J82" s="221"/>
    </row>
    <row r="83" spans="1:10" s="219" customFormat="1" ht="12.75">
      <c r="A83" s="223" t="s">
        <v>239</v>
      </c>
      <c r="B83" s="244">
        <v>76</v>
      </c>
      <c r="C83" s="379" t="s">
        <v>110</v>
      </c>
      <c r="D83" s="379"/>
      <c r="E83" s="372">
        <f>'Indiv results Appl'!AM13</f>
        <v>105.46511627906978</v>
      </c>
      <c r="F83" s="372"/>
      <c r="G83" s="368">
        <f>'Indiv results Appl'!AO13</f>
        <v>6.181925228142479</v>
      </c>
      <c r="H83" s="372">
        <f>'Indiv results Appl'!AP13</f>
        <v>694.6511627906978</v>
      </c>
      <c r="I83" s="220"/>
      <c r="J83" s="221"/>
    </row>
    <row r="84" spans="1:10" s="219" customFormat="1" ht="12.75">
      <c r="A84" s="223" t="s">
        <v>240</v>
      </c>
      <c r="B84" s="244">
        <v>64</v>
      </c>
      <c r="C84" s="379" t="s">
        <v>110</v>
      </c>
      <c r="D84" s="379"/>
      <c r="E84" s="372">
        <f>'Indiv results Appl'!AM14</f>
        <v>195.33333333333334</v>
      </c>
      <c r="F84" s="372"/>
      <c r="G84" s="373"/>
      <c r="H84" s="373">
        <f>'Indiv results Appl'!AP14</f>
        <v>1026.5775193798452</v>
      </c>
      <c r="I84" s="220"/>
      <c r="J84" s="221"/>
    </row>
    <row r="85" spans="1:10" s="219" customFormat="1" ht="12.75">
      <c r="A85" s="223" t="s">
        <v>241</v>
      </c>
      <c r="B85" s="244">
        <v>65</v>
      </c>
      <c r="C85" s="379" t="s">
        <v>110</v>
      </c>
      <c r="D85" s="379"/>
      <c r="E85" s="372">
        <f>'Indiv results Appl'!AM15</f>
        <v>195.93333333333334</v>
      </c>
      <c r="F85" s="372"/>
      <c r="G85" s="373"/>
      <c r="H85" s="369">
        <f>'Indiv results Appl'!AP15</f>
        <v>92.99333333333334</v>
      </c>
      <c r="I85" s="220"/>
      <c r="J85" s="221"/>
    </row>
    <row r="86" spans="1:10" s="219" customFormat="1" ht="12.75">
      <c r="A86" s="223" t="s">
        <v>242</v>
      </c>
      <c r="B86" s="244">
        <v>72</v>
      </c>
      <c r="C86" s="379" t="s">
        <v>110</v>
      </c>
      <c r="D86" s="379"/>
      <c r="E86" s="372">
        <f>'Indiv results Appl'!AM16</f>
        <v>100.4</v>
      </c>
      <c r="F86" s="372"/>
      <c r="G86" s="373"/>
      <c r="H86" s="373">
        <f>'Indiv results Appl'!AP16</f>
        <v>3922.0035778175315</v>
      </c>
      <c r="I86" s="220"/>
      <c r="J86" s="221"/>
    </row>
    <row r="87" spans="1:10" s="219" customFormat="1" ht="12.75">
      <c r="A87" s="223" t="s">
        <v>243</v>
      </c>
      <c r="B87" s="244">
        <v>68</v>
      </c>
      <c r="C87" s="379" t="s">
        <v>110</v>
      </c>
      <c r="D87" s="379"/>
      <c r="E87" s="369">
        <f>'Indiv results Appl'!AM17</f>
        <v>31.714285714285715</v>
      </c>
      <c r="F87" s="372"/>
      <c r="G87" s="373"/>
      <c r="H87" s="372">
        <f>'Indiv results Appl'!AP17</f>
        <v>248.57142857142856</v>
      </c>
      <c r="I87" s="220"/>
      <c r="J87" s="221"/>
    </row>
    <row r="88" spans="1:10" s="219" customFormat="1" ht="12.75">
      <c r="A88" s="551" t="s">
        <v>244</v>
      </c>
      <c r="B88" s="244">
        <v>68</v>
      </c>
      <c r="C88" s="379" t="s">
        <v>110</v>
      </c>
      <c r="D88" s="379"/>
      <c r="E88" s="373">
        <f>'Indiv results Appl'!AM18</f>
        <v>13176.666666666668</v>
      </c>
      <c r="F88" s="372"/>
      <c r="G88" s="373"/>
      <c r="H88" s="372">
        <f>'Indiv results Appl'!AP18</f>
        <v>546.6269841269842</v>
      </c>
      <c r="I88" s="220"/>
      <c r="J88" s="221"/>
    </row>
    <row r="89" spans="1:10" s="219" customFormat="1" ht="12.75">
      <c r="A89" s="551" t="s">
        <v>245</v>
      </c>
      <c r="B89" s="244">
        <v>80</v>
      </c>
      <c r="C89" s="379" t="s">
        <v>110</v>
      </c>
      <c r="D89" s="379"/>
      <c r="E89" s="369">
        <f>'Indiv results Appl'!AM19</f>
        <v>16.615384615384617</v>
      </c>
      <c r="F89" s="372">
        <f>'Indiv results Appl'!AN19</f>
        <v>200</v>
      </c>
      <c r="G89" s="372">
        <f>'Indiv results Appl'!AO19</f>
        <v>143.52482960077896</v>
      </c>
      <c r="H89" s="372">
        <f>'Indiv results Appl'!AP19</f>
        <v>278.8461538461538</v>
      </c>
      <c r="I89" s="220"/>
      <c r="J89" s="221"/>
    </row>
    <row r="90" spans="1:10" s="219" customFormat="1" ht="12.75">
      <c r="A90" s="551" t="s">
        <v>246</v>
      </c>
      <c r="B90" s="244">
        <v>76</v>
      </c>
      <c r="C90" s="379" t="s">
        <v>110</v>
      </c>
      <c r="D90" s="379"/>
      <c r="E90" s="369">
        <f>'Indiv results Appl'!AM20</f>
        <v>53.81818181818181</v>
      </c>
      <c r="F90" s="372">
        <f>'Indiv results Appl'!AN20</f>
        <v>732.4973876698015</v>
      </c>
      <c r="G90" s="369">
        <f>'Indiv results Appl'!AO20</f>
        <v>21.403912543153048</v>
      </c>
      <c r="H90" s="372">
        <f>'Indiv results Appl'!AP20</f>
        <v>653.8181818181818</v>
      </c>
      <c r="I90" s="220"/>
      <c r="J90" s="221"/>
    </row>
    <row r="91" spans="1:10" s="219" customFormat="1" ht="12.75">
      <c r="A91" s="551" t="s">
        <v>247</v>
      </c>
      <c r="B91" s="244">
        <v>74</v>
      </c>
      <c r="C91" s="379" t="s">
        <v>110</v>
      </c>
      <c r="D91" s="379"/>
      <c r="E91" s="372">
        <f>'Indiv results Appl'!AM21</f>
        <v>955.1063829787234</v>
      </c>
      <c r="F91" s="373">
        <f>'Indiv results Appl'!AN21</f>
        <v>1712.1582293959407</v>
      </c>
      <c r="G91" s="369">
        <f>'Indiv results Appl'!AO21</f>
        <v>97.3606248316725</v>
      </c>
      <c r="H91" s="372">
        <f>'Indiv results Appl'!AP21</f>
        <v>300.2836879432624</v>
      </c>
      <c r="I91" s="220"/>
      <c r="J91" s="221"/>
    </row>
    <row r="92" spans="1:10" s="219" customFormat="1" ht="12.75">
      <c r="A92" s="551" t="s">
        <v>248</v>
      </c>
      <c r="B92" s="244">
        <v>90</v>
      </c>
      <c r="C92" s="379" t="s">
        <v>110</v>
      </c>
      <c r="D92" s="379"/>
      <c r="E92" s="372">
        <f>'Indiv results Appl'!AM22</f>
        <v>304.6808510638298</v>
      </c>
      <c r="F92" s="373">
        <f>'Indiv results Appl'!AN22</f>
        <v>2049.62582538518</v>
      </c>
      <c r="G92" s="373">
        <f>'Indiv results Appl'!AO22</f>
        <v>1343.657419876111</v>
      </c>
      <c r="H92" s="372">
        <f>'Indiv results Appl'!AP22</f>
        <v>431.9148936170213</v>
      </c>
      <c r="I92" s="220"/>
      <c r="J92" s="221"/>
    </row>
    <row r="93" spans="1:10" s="219" customFormat="1" ht="12.75">
      <c r="A93" s="551" t="s">
        <v>249</v>
      </c>
      <c r="B93" s="244">
        <v>82</v>
      </c>
      <c r="C93" s="379" t="s">
        <v>110</v>
      </c>
      <c r="D93" s="379"/>
      <c r="E93" s="372"/>
      <c r="F93" s="372">
        <f>'Indiv results Appl'!AN23</f>
        <v>826.4915161466885</v>
      </c>
      <c r="G93" s="372">
        <f>'Indiv results Appl'!AO23</f>
        <v>941.7319670484226</v>
      </c>
      <c r="H93" s="372">
        <f>'Indiv results Appl'!AP23</f>
        <v>748.015873015873</v>
      </c>
      <c r="I93" s="220"/>
      <c r="J93" s="221"/>
    </row>
    <row r="94" spans="1:10" s="219" customFormat="1" ht="12.75">
      <c r="A94" s="551" t="s">
        <v>250</v>
      </c>
      <c r="B94" s="244">
        <v>78</v>
      </c>
      <c r="C94" s="379" t="s">
        <v>110</v>
      </c>
      <c r="D94" s="379"/>
      <c r="E94" s="373">
        <f>'Indiv results Appl'!AM24</f>
        <v>2364.4</v>
      </c>
      <c r="F94" s="373">
        <f>'Indiv results Appl'!AN24</f>
        <v>2545.747126436782</v>
      </c>
      <c r="G94" s="373">
        <f>'Indiv results Appl'!AO24</f>
        <v>1088.1012658227849</v>
      </c>
      <c r="H94" s="373">
        <f>'Indiv results Appl'!AP24</f>
        <v>1331.1</v>
      </c>
      <c r="I94" s="220"/>
      <c r="J94" s="221"/>
    </row>
    <row r="95" spans="1:10" s="219" customFormat="1" ht="12.75">
      <c r="A95" s="551" t="s">
        <v>251</v>
      </c>
      <c r="B95" s="244">
        <v>80</v>
      </c>
      <c r="C95" s="379" t="s">
        <v>110</v>
      </c>
      <c r="D95" s="379"/>
      <c r="E95" s="373">
        <f>'Indiv results Appl'!AM25</f>
        <v>8632.093023255815</v>
      </c>
      <c r="F95" s="373">
        <f>'Indiv results Appl'!AN25</f>
        <v>4964.3557872226675</v>
      </c>
      <c r="G95" s="373"/>
      <c r="H95" s="372">
        <f>'Indiv results Appl'!AP25</f>
        <v>362.5</v>
      </c>
      <c r="I95" s="220"/>
      <c r="J95" s="221"/>
    </row>
    <row r="96" spans="1:10" s="219" customFormat="1" ht="12.75">
      <c r="A96" s="551" t="s">
        <v>252</v>
      </c>
      <c r="B96" s="244">
        <v>64</v>
      </c>
      <c r="C96" s="379" t="s">
        <v>110</v>
      </c>
      <c r="D96" s="379"/>
      <c r="E96" s="372">
        <f>'Indiv results Appl'!AM26</f>
        <v>534.1772151898734</v>
      </c>
      <c r="F96" s="372">
        <f>'Indiv results Appl'!AN26</f>
        <v>612.6873272224647</v>
      </c>
      <c r="G96" s="373"/>
      <c r="H96" s="369">
        <f>'Indiv results Appl'!AP26</f>
        <v>96.14225437010246</v>
      </c>
      <c r="I96" s="220"/>
      <c r="J96" s="221"/>
    </row>
    <row r="97" spans="1:10" s="219" customFormat="1" ht="12.75">
      <c r="A97" s="551" t="s">
        <v>253</v>
      </c>
      <c r="B97" s="244">
        <v>70</v>
      </c>
      <c r="C97" s="379" t="s">
        <v>110</v>
      </c>
      <c r="D97" s="379"/>
      <c r="E97" s="372">
        <f>'Indiv results Appl'!AM27</f>
        <v>191.70731707317074</v>
      </c>
      <c r="F97" s="373">
        <f>'Indiv results Appl'!AN27</f>
        <v>1049.901878329128</v>
      </c>
      <c r="G97" s="373"/>
      <c r="H97" s="372">
        <f>'Indiv results Appl'!AP27</f>
        <v>254.63414634146343</v>
      </c>
      <c r="I97" s="220"/>
      <c r="J97" s="221"/>
    </row>
    <row r="98" spans="1:10" s="219" customFormat="1" ht="12.75">
      <c r="A98" s="551" t="s">
        <v>254</v>
      </c>
      <c r="B98" s="244">
        <v>65</v>
      </c>
      <c r="C98" s="379" t="s">
        <v>110</v>
      </c>
      <c r="D98" s="379"/>
      <c r="E98" s="373">
        <f>'Indiv results Appl'!AM28</f>
        <v>2998.933333333333</v>
      </c>
      <c r="F98" s="373">
        <f>'Indiv results Appl'!AN28</f>
        <v>1751.9862068965515</v>
      </c>
      <c r="G98" s="372">
        <f>'Indiv results Appl'!AO28</f>
        <v>137.0464135021097</v>
      </c>
      <c r="H98" s="372">
        <f>'Indiv results Appl'!AP28</f>
        <v>850.6666666666666</v>
      </c>
      <c r="I98" s="220"/>
      <c r="J98" s="221"/>
    </row>
    <row r="99" spans="1:10" s="219" customFormat="1" ht="12.75">
      <c r="A99" s="551" t="s">
        <v>255</v>
      </c>
      <c r="B99" s="244">
        <v>85</v>
      </c>
      <c r="C99" s="379" t="s">
        <v>110</v>
      </c>
      <c r="D99" s="379"/>
      <c r="E99" s="373">
        <f>'Indiv results Appl'!AM29</f>
        <v>8907.924528301886</v>
      </c>
      <c r="F99" s="373">
        <f>'Indiv results Appl'!AN29</f>
        <v>8785.304706137496</v>
      </c>
      <c r="G99" s="373">
        <f>'Indiv results Appl'!AO29</f>
        <v>1438.2612849295438</v>
      </c>
      <c r="H99" s="372">
        <f>'Indiv results Appl'!AP29</f>
        <v>259.90566037735846</v>
      </c>
      <c r="I99" s="220"/>
      <c r="J99" s="221"/>
    </row>
    <row r="100" spans="1:10" s="219" customFormat="1" ht="12.75">
      <c r="A100" s="551" t="s">
        <v>256</v>
      </c>
      <c r="B100" s="244">
        <v>125</v>
      </c>
      <c r="C100" s="379" t="s">
        <v>110</v>
      </c>
      <c r="D100" s="379"/>
      <c r="E100" s="373">
        <f>'Indiv results Appl'!AM30</f>
        <v>5367.5675675675675</v>
      </c>
      <c r="F100" s="373">
        <f>'Indiv results Appl'!AN30</f>
        <v>3587.4557315936627</v>
      </c>
      <c r="G100" s="372">
        <f>'Indiv results Appl'!AO30</f>
        <v>117.17413616147792</v>
      </c>
      <c r="H100" s="372">
        <f>'Indiv results Appl'!AP30</f>
        <v>334.8894348894349</v>
      </c>
      <c r="I100" s="220"/>
      <c r="J100" s="221"/>
    </row>
    <row r="101" spans="1:10" s="219" customFormat="1" ht="12.75">
      <c r="A101" s="551" t="s">
        <v>257</v>
      </c>
      <c r="B101" s="244">
        <v>80</v>
      </c>
      <c r="C101" s="379" t="s">
        <v>110</v>
      </c>
      <c r="D101" s="379"/>
      <c r="E101" s="372">
        <f>'Indiv results Appl'!AM31</f>
        <v>414.3661971830986</v>
      </c>
      <c r="F101" s="373">
        <f>'Indiv results Appl'!AN31</f>
        <v>1785.6888457179864</v>
      </c>
      <c r="G101" s="373"/>
      <c r="H101" s="372">
        <f>'Indiv results Appl'!AP31</f>
        <v>112.32394366197184</v>
      </c>
      <c r="I101" s="220"/>
      <c r="J101" s="221"/>
    </row>
    <row r="102" spans="1:10" s="219" customFormat="1" ht="12.75">
      <c r="A102" s="551" t="s">
        <v>258</v>
      </c>
      <c r="B102" s="244">
        <v>74</v>
      </c>
      <c r="C102" s="379" t="s">
        <v>110</v>
      </c>
      <c r="D102" s="379"/>
      <c r="E102" s="372">
        <f>'Indiv results Appl'!AM32</f>
        <v>353.5211267605634</v>
      </c>
      <c r="F102" s="373">
        <f>'Indiv results Appl'!AN32</f>
        <v>1749.7442124008421</v>
      </c>
      <c r="G102" s="373"/>
      <c r="H102" s="372">
        <f>'Indiv results Appl'!AP32</f>
        <v>339.0140845070423</v>
      </c>
      <c r="I102" s="220"/>
      <c r="J102" s="221"/>
    </row>
    <row r="103" spans="1:10" s="219" customFormat="1" ht="12.75">
      <c r="A103" s="551" t="s">
        <v>259</v>
      </c>
      <c r="B103" s="244">
        <v>86</v>
      </c>
      <c r="C103" s="379" t="s">
        <v>110</v>
      </c>
      <c r="D103" s="379"/>
      <c r="E103" s="372">
        <f>'Indiv results Appl'!AM33</f>
        <v>474.6666666666667</v>
      </c>
      <c r="F103" s="373">
        <f>'Indiv results Appl'!AN33</f>
        <v>1089.1340996168583</v>
      </c>
      <c r="G103" s="369">
        <f>'Indiv results Appl'!AO33</f>
        <v>60.25316455696203</v>
      </c>
      <c r="H103" s="372">
        <f>'Indiv results Appl'!AP33</f>
        <v>187.5333333333333</v>
      </c>
      <c r="I103" s="220"/>
      <c r="J103" s="221"/>
    </row>
    <row r="104" spans="1:10" s="219" customFormat="1" ht="12.75">
      <c r="A104" s="551" t="s">
        <v>575</v>
      </c>
      <c r="B104" s="244">
        <v>80</v>
      </c>
      <c r="C104" s="379" t="s">
        <v>110</v>
      </c>
      <c r="D104" s="379"/>
      <c r="E104" s="372">
        <f>'Indiv results Appl'!AM34</f>
        <v>356.86746987951807</v>
      </c>
      <c r="F104" s="373">
        <f>'Indiv results Appl'!AN34</f>
        <v>1407.54189170475</v>
      </c>
      <c r="G104" s="372">
        <f>'Indiv results Appl'!AO34</f>
        <v>638.5542168674699</v>
      </c>
      <c r="H104" s="372">
        <f>'Indiv results Appl'!AP34</f>
        <v>560.7831325301206</v>
      </c>
      <c r="I104" s="220"/>
      <c r="J104" s="221"/>
    </row>
    <row r="106" spans="1:10" s="230" customFormat="1" ht="12.75">
      <c r="A106" s="247" t="s">
        <v>316</v>
      </c>
      <c r="B106" s="247"/>
      <c r="C106" s="234"/>
      <c r="D106" s="234"/>
      <c r="E106" s="234"/>
      <c r="F106" s="234"/>
      <c r="G106" s="234"/>
      <c r="H106" s="234"/>
      <c r="I106" s="234"/>
      <c r="J106" s="234"/>
    </row>
    <row r="107" spans="1:10" s="230" customFormat="1" ht="12.75">
      <c r="A107" s="248" t="s">
        <v>293</v>
      </c>
      <c r="B107" s="259">
        <f>PERCENTILE((B13:B32,B63:B72),0.75)</f>
        <v>84.25</v>
      </c>
      <c r="C107" s="259">
        <f>PERCENTILE((C13:C32,C63:C72),0.75)</f>
        <v>465018.42679808865</v>
      </c>
      <c r="D107" s="259">
        <f>PERCENTILE((D13:D32,D63:D72),0.75)</f>
        <v>25190.386130536128</v>
      </c>
      <c r="E107" s="382">
        <f>PERCENTILE((E13:E32,E63:E72),0.75)</f>
        <v>806.060606060606</v>
      </c>
      <c r="F107" s="259">
        <f>PERCENTILE((F13:F32,F63:F72),0.75)</f>
        <v>17084.126318426494</v>
      </c>
      <c r="G107" s="384">
        <f>PERCENTILE((G13:G32,G63:G72),0.75)</f>
        <v>21.652428202740168</v>
      </c>
      <c r="H107" s="382">
        <f>PERCENTILE((H13:H32,H63:H72),0.75)</f>
        <v>676.9548608495895</v>
      </c>
      <c r="I107" s="234"/>
      <c r="J107" s="392">
        <f>PERCENTILE((J13:J32,J63:J72),0.75)</f>
        <v>342318.2604218067</v>
      </c>
    </row>
    <row r="108" spans="1:10" s="230" customFormat="1" ht="12.75">
      <c r="A108" s="249" t="s">
        <v>294</v>
      </c>
      <c r="B108" s="259">
        <f aca="true" t="shared" si="0" ref="B108:J108">GEOMEAN(B13:B32,B63:B72)</f>
        <v>76.41426328110991</v>
      </c>
      <c r="C108" s="259">
        <f t="shared" si="0"/>
        <v>265964.72631373577</v>
      </c>
      <c r="D108" s="259">
        <f t="shared" si="0"/>
        <v>11733.18433036044</v>
      </c>
      <c r="E108" s="382">
        <f t="shared" si="0"/>
        <v>316.9234754746574</v>
      </c>
      <c r="F108" s="259">
        <f t="shared" si="0"/>
        <v>4684.278218562585</v>
      </c>
      <c r="G108" s="383">
        <f t="shared" si="0"/>
        <v>6.632575753326394</v>
      </c>
      <c r="H108" s="382">
        <f t="shared" si="0"/>
        <v>382.96215659788396</v>
      </c>
      <c r="I108" s="234"/>
      <c r="J108" s="392">
        <f t="shared" si="0"/>
        <v>194599.53975825294</v>
      </c>
    </row>
    <row r="109" spans="1:10" s="230" customFormat="1" ht="12.75">
      <c r="A109" s="233" t="s">
        <v>346</v>
      </c>
      <c r="B109" s="233">
        <f aca="true" t="shared" si="1" ref="B109:J109">COUNT(B13:B32,B63:B72)</f>
        <v>30</v>
      </c>
      <c r="C109" s="233">
        <f t="shared" si="1"/>
        <v>30</v>
      </c>
      <c r="D109" s="233">
        <f t="shared" si="1"/>
        <v>30</v>
      </c>
      <c r="E109" s="233">
        <f t="shared" si="1"/>
        <v>29</v>
      </c>
      <c r="F109" s="233">
        <f t="shared" si="1"/>
        <v>30</v>
      </c>
      <c r="G109" s="233">
        <f t="shared" si="1"/>
        <v>22</v>
      </c>
      <c r="H109" s="233">
        <f t="shared" si="1"/>
        <v>30</v>
      </c>
      <c r="I109" s="234"/>
      <c r="J109" s="233">
        <f t="shared" si="1"/>
        <v>30</v>
      </c>
    </row>
    <row r="111" spans="1:10" s="230" customFormat="1" ht="12.75">
      <c r="A111" s="250" t="s">
        <v>317</v>
      </c>
      <c r="B111" s="250"/>
      <c r="C111" s="234"/>
      <c r="D111" s="234"/>
      <c r="E111" s="234"/>
      <c r="F111" s="234"/>
      <c r="G111" s="234"/>
      <c r="H111" s="234"/>
      <c r="I111" s="234"/>
      <c r="J111" s="234"/>
    </row>
    <row r="112" spans="1:10" s="230" customFormat="1" ht="12.75">
      <c r="A112" s="248" t="s">
        <v>293</v>
      </c>
      <c r="B112" s="259">
        <f>PERCENTILE((B73:B104),0.75)</f>
        <v>85.25</v>
      </c>
      <c r="C112" s="234"/>
      <c r="D112" s="234"/>
      <c r="E112" s="259">
        <f>PERCENTILE((E73:E104),0.75)</f>
        <v>1066.229662077597</v>
      </c>
      <c r="F112" s="259">
        <f>PERCENTILE((F89:F104),0.75)</f>
        <v>2173.6561506480807</v>
      </c>
      <c r="G112" s="259">
        <f>PERCENTILE((G73:G104),0.75)</f>
        <v>1051.5089411291942</v>
      </c>
      <c r="H112" s="382">
        <f>PERCENTILE((H73:H104),0.75)</f>
        <v>824.4674714956406</v>
      </c>
      <c r="I112" s="234"/>
      <c r="J112" s="234"/>
    </row>
    <row r="113" spans="1:10" s="230" customFormat="1" ht="12.75">
      <c r="A113" s="249" t="s">
        <v>294</v>
      </c>
      <c r="B113" s="259">
        <f>GEOMEAN(B73:B104)</f>
        <v>78.6221249222474</v>
      </c>
      <c r="C113" s="234"/>
      <c r="D113" s="234"/>
      <c r="E113" s="382">
        <f>GEOMEAN(E73:E104)</f>
        <v>473.2569719737646</v>
      </c>
      <c r="F113" s="259">
        <f>GEOMEAN(F89:F104)</f>
        <v>1531.254010843715</v>
      </c>
      <c r="G113" s="382">
        <f>GEOMEAN(G73:G104)</f>
        <v>247.9886820382017</v>
      </c>
      <c r="H113" s="382">
        <f>GEOMEAN(H73:H104)</f>
        <v>510.924949983902</v>
      </c>
      <c r="I113" s="234"/>
      <c r="J113" s="234"/>
    </row>
    <row r="114" spans="1:10" s="230" customFormat="1" ht="12.75">
      <c r="A114" s="233" t="s">
        <v>346</v>
      </c>
      <c r="B114" s="233">
        <f>COUNT(B73:B104)</f>
        <v>32</v>
      </c>
      <c r="C114" s="234"/>
      <c r="D114" s="234"/>
      <c r="E114" s="233">
        <f>COUNT(E73:E104)</f>
        <v>31</v>
      </c>
      <c r="F114" s="233">
        <f>COUNT(F89:F104)</f>
        <v>16</v>
      </c>
      <c r="G114" s="233">
        <f>COUNT(G73:G104)</f>
        <v>18</v>
      </c>
      <c r="H114" s="233">
        <f>COUNT(H73:H104)</f>
        <v>32</v>
      </c>
      <c r="I114" s="234"/>
      <c r="J114" s="234"/>
    </row>
    <row r="116" spans="1:10" s="230" customFormat="1" ht="12.75">
      <c r="A116" s="247" t="s">
        <v>315</v>
      </c>
      <c r="B116" s="247"/>
      <c r="C116" s="234"/>
      <c r="D116" s="234"/>
      <c r="E116" s="234"/>
      <c r="F116" s="234"/>
      <c r="G116" s="234"/>
      <c r="H116" s="234"/>
      <c r="I116" s="234"/>
      <c r="J116" s="234"/>
    </row>
    <row r="117" spans="1:10" s="230" customFormat="1" ht="12.75">
      <c r="A117" s="248" t="s">
        <v>293</v>
      </c>
      <c r="B117" s="259">
        <f aca="true" t="shared" si="2" ref="B117:H117">PERCENTILE((B3:B12),0.75)</f>
        <v>83</v>
      </c>
      <c r="C117" s="391">
        <f t="shared" si="2"/>
        <v>73098.73325079173</v>
      </c>
      <c r="D117" s="391">
        <f t="shared" si="2"/>
        <v>5710.484992843085</v>
      </c>
      <c r="E117" s="387">
        <f t="shared" si="2"/>
        <v>11.49440429589481</v>
      </c>
      <c r="F117" s="388">
        <f t="shared" si="2"/>
        <v>372.96047030091194</v>
      </c>
      <c r="G117" s="385">
        <f t="shared" si="2"/>
        <v>0.2366574223617805</v>
      </c>
      <c r="H117" s="388">
        <f t="shared" si="2"/>
        <v>443.29637802452197</v>
      </c>
      <c r="I117" s="234"/>
      <c r="J117" s="393">
        <f>PERCENTILE((J3:J12),0.75)</f>
        <v>68248.18472761383</v>
      </c>
    </row>
    <row r="118" spans="1:10" s="230" customFormat="1" ht="12.75">
      <c r="A118" s="249" t="s">
        <v>294</v>
      </c>
      <c r="B118" s="259">
        <f aca="true" t="shared" si="3" ref="B118:J118">GEOMEAN(B3:B12)</f>
        <v>76.35168331160212</v>
      </c>
      <c r="C118" s="391">
        <f t="shared" si="3"/>
        <v>27681.02039873758</v>
      </c>
      <c r="D118" s="391">
        <f t="shared" si="3"/>
        <v>3157.044336465774</v>
      </c>
      <c r="E118" s="386">
        <f t="shared" si="3"/>
        <v>3.749338182361022</v>
      </c>
      <c r="F118" s="388">
        <f t="shared" si="3"/>
        <v>109.06039447472047</v>
      </c>
      <c r="G118" s="385">
        <f t="shared" si="3"/>
        <v>0.2771635165269435</v>
      </c>
      <c r="H118" s="387">
        <f t="shared" si="3"/>
        <v>88.50493394136322</v>
      </c>
      <c r="I118" s="234"/>
      <c r="J118" s="393">
        <f t="shared" si="3"/>
        <v>18933.74968995059</v>
      </c>
    </row>
    <row r="119" spans="1:10" s="230" customFormat="1" ht="12.75">
      <c r="A119" s="233" t="s">
        <v>346</v>
      </c>
      <c r="B119" s="233">
        <f aca="true" t="shared" si="4" ref="B119:J119">COUNT(B3:B12)</f>
        <v>10</v>
      </c>
      <c r="C119" s="233">
        <f t="shared" si="4"/>
        <v>10</v>
      </c>
      <c r="D119" s="233">
        <f t="shared" si="4"/>
        <v>10</v>
      </c>
      <c r="E119" s="233">
        <f t="shared" si="4"/>
        <v>10</v>
      </c>
      <c r="F119" s="233">
        <f t="shared" si="4"/>
        <v>10</v>
      </c>
      <c r="G119" s="233">
        <f t="shared" si="4"/>
        <v>10</v>
      </c>
      <c r="H119" s="233">
        <f t="shared" si="4"/>
        <v>10</v>
      </c>
      <c r="I119" s="234"/>
      <c r="J119" s="233">
        <f t="shared" si="4"/>
        <v>10</v>
      </c>
    </row>
    <row r="121" spans="1:10" s="230" customFormat="1" ht="12.75">
      <c r="A121" s="247" t="s">
        <v>318</v>
      </c>
      <c r="B121" s="247"/>
      <c r="C121" s="234"/>
      <c r="D121" s="234"/>
      <c r="E121" s="234"/>
      <c r="F121" s="234"/>
      <c r="G121" s="234"/>
      <c r="H121" s="234"/>
      <c r="I121" s="234"/>
      <c r="J121" s="234"/>
    </row>
    <row r="122" spans="1:2" ht="12.75">
      <c r="A122" s="251" t="s">
        <v>297</v>
      </c>
      <c r="B122" s="251"/>
    </row>
    <row r="123" spans="1:8" ht="12.75">
      <c r="A123" s="252" t="s">
        <v>293</v>
      </c>
      <c r="B123" s="260">
        <f>PERCENTILE((B33:B62),0.75)</f>
        <v>82.6</v>
      </c>
      <c r="D123" s="260">
        <f>PERCENTILE((D33:D62),0.75)</f>
        <v>28618.020316046826</v>
      </c>
      <c r="E123" s="390">
        <f>PERCENTILE((E33:E62),0.75)</f>
        <v>363.8740627076066</v>
      </c>
      <c r="F123" s="260">
        <f>PERCENTILE((F33:F52),0.75)</f>
        <v>305297.35491716064</v>
      </c>
      <c r="H123" s="260">
        <f>PERCENTILE((H33:H62),0.75)</f>
        <v>1465.2258852258851</v>
      </c>
    </row>
    <row r="124" spans="1:8" ht="12.75">
      <c r="A124" s="253" t="s">
        <v>294</v>
      </c>
      <c r="B124" s="260">
        <f>GEOMEAN(B33:B62)</f>
        <v>74.15970707206186</v>
      </c>
      <c r="D124" s="260">
        <f>GEOMEAN(D33:D62)</f>
        <v>15736.934354961964</v>
      </c>
      <c r="E124" s="390">
        <f>GEOMEAN(E33:E62)</f>
        <v>215.17999268581352</v>
      </c>
      <c r="F124" s="260">
        <f>GEOMEAN(F33:F52)</f>
        <v>36948.8482237564</v>
      </c>
      <c r="H124" s="390">
        <f>GEOMEAN(H33:H62)</f>
        <v>559.7132615779648</v>
      </c>
    </row>
    <row r="125" spans="1:8" ht="12.75">
      <c r="A125" s="254" t="s">
        <v>346</v>
      </c>
      <c r="B125" s="254">
        <f>COUNT(B33:B62)</f>
        <v>30</v>
      </c>
      <c r="D125" s="254">
        <f>COUNT(D33:D62)</f>
        <v>30</v>
      </c>
      <c r="E125" s="254">
        <f>COUNT(E33:E62)</f>
        <v>30</v>
      </c>
      <c r="F125" s="254">
        <f>COUNT(F33:F52)</f>
        <v>20</v>
      </c>
      <c r="G125" s="255"/>
      <c r="H125" s="254">
        <f>COUNT(H33:H62)</f>
        <v>29</v>
      </c>
    </row>
    <row r="126" spans="1:2" ht="12.75">
      <c r="A126" s="256" t="s">
        <v>298</v>
      </c>
      <c r="B126" s="256"/>
    </row>
    <row r="127" spans="1:7" ht="12.75">
      <c r="A127" s="252" t="s">
        <v>293</v>
      </c>
      <c r="B127" s="260">
        <f>PERCENTILE((B33:B62),0.75)</f>
        <v>82.6</v>
      </c>
      <c r="F127" s="260">
        <f>PERCENTILE((F53:F62),0.75)</f>
        <v>1608.571966214099</v>
      </c>
      <c r="G127" s="389">
        <f>PERCENTILE((G33:G62),0.75)</f>
        <v>38.9723896175509</v>
      </c>
    </row>
    <row r="128" spans="1:7" ht="12.75">
      <c r="A128" s="253" t="s">
        <v>294</v>
      </c>
      <c r="B128" s="260">
        <f>GEOMEAN(B33:B62)</f>
        <v>74.15970707206186</v>
      </c>
      <c r="F128" s="390">
        <f>GEOMEAN(F53:F62)</f>
        <v>1144.7001080669334</v>
      </c>
      <c r="G128" s="389">
        <f>GEOMEAN(G33:G62)</f>
        <v>19.552600124788817</v>
      </c>
    </row>
    <row r="129" spans="1:7" ht="12.75">
      <c r="A129" s="254" t="s">
        <v>346</v>
      </c>
      <c r="B129" s="254">
        <f>COUNT(B33:B62)</f>
        <v>30</v>
      </c>
      <c r="F129" s="254">
        <f>COUNT(F53:F62)</f>
        <v>10</v>
      </c>
      <c r="G129" s="254">
        <f>COUNT(G33:G62)</f>
        <v>30</v>
      </c>
    </row>
  </sheetData>
  <sheetProtection sheet="1" formatCells="0" formatColumns="0" formatRows="0"/>
  <printOptions/>
  <pageMargins left="0.75" right="0.75" top="1" bottom="1" header="0.4921259845" footer="0.4921259845"/>
  <pageSetup orientation="portrait" paperSize="9" r:id="rId3"/>
  <ignoredErrors>
    <ignoredError sqref="A126:A128 C105:H106 A110 A115 A120 A19 A20 A27 A18 A117:A118 A112:A113 A122:A124 A107:A108 A25 A15 A9 A22 A16 A30 A28 A10 A26 A23 A24 A29 A11 A12 A31 A32:A72 A14 A17 A13 A21 A83:A87 A105 A88:A104" twoDigitTextYear="1"/>
    <ignoredError sqref="D120:D122 F110:F111 C126:H128 C120:C124 H107:H108 G108 C107 D115:H118 C115:C117 E120:H124 D124 D107:F108 C110:D113 E110:E111 G110:G111 H110:H111 F112:F113" twoDigitTextYear="1" formulaRange="1"/>
    <ignoredError sqref="F112:F113" twoDigitTextYear="1" formula="1" formulaRange="1"/>
    <ignoredError sqref="D123 G109:H109 D125:F125 F129:G129 H112:H114 C119 C118 D119:H119 B112:B114 B117:B119 B123:B125 B127:B129 J107:J119" formulaRange="1"/>
    <ignoredError sqref="F114" formula="1"/>
  </ignoredErrors>
  <legacyDrawing r:id="rId2"/>
</worksheet>
</file>

<file path=xl/worksheets/sheet26.xml><?xml version="1.0" encoding="utf-8"?>
<worksheet xmlns="http://schemas.openxmlformats.org/spreadsheetml/2006/main" xmlns:r="http://schemas.openxmlformats.org/officeDocument/2006/relationships">
  <sheetPr codeName="Feuil4">
    <pageSetUpPr fitToPage="1"/>
  </sheetPr>
  <dimension ref="A1:O275"/>
  <sheetViews>
    <sheetView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11.421875" defaultRowHeight="12.75"/>
  <cols>
    <col min="1" max="2" width="11.421875" style="535" customWidth="1"/>
    <col min="3" max="3" width="11.421875" style="573" customWidth="1"/>
    <col min="4" max="4" width="11.421875" style="535" customWidth="1"/>
    <col min="5" max="5" width="11.421875" style="573" customWidth="1"/>
    <col min="6" max="6" width="11.421875" style="535" customWidth="1"/>
    <col min="7" max="7" width="11.421875" style="574" customWidth="1"/>
    <col min="8" max="8" width="9.8515625" style="581" bestFit="1" customWidth="1"/>
    <col min="9" max="9" width="9.8515625" style="581" customWidth="1"/>
    <col min="10" max="10" width="11.421875" style="570" customWidth="1"/>
    <col min="11" max="11" width="11.421875" style="575" customWidth="1"/>
    <col min="12" max="12" width="11.421875" style="584" customWidth="1"/>
    <col min="13" max="13" width="11.421875" style="575" customWidth="1"/>
    <col min="14" max="16384" width="11.421875" style="535" customWidth="1"/>
  </cols>
  <sheetData>
    <row r="1" spans="1:13" ht="48">
      <c r="A1" s="497" t="s">
        <v>107</v>
      </c>
      <c r="B1" s="497" t="s">
        <v>400</v>
      </c>
      <c r="C1" s="498" t="s">
        <v>597</v>
      </c>
      <c r="D1" s="497" t="s">
        <v>401</v>
      </c>
      <c r="E1" s="498" t="s">
        <v>598</v>
      </c>
      <c r="F1" s="497" t="s">
        <v>586</v>
      </c>
      <c r="G1" s="499" t="s">
        <v>402</v>
      </c>
      <c r="H1" s="504" t="s">
        <v>403</v>
      </c>
      <c r="I1" s="504" t="s">
        <v>404</v>
      </c>
      <c r="J1" s="553" t="s">
        <v>576</v>
      </c>
      <c r="K1" s="497" t="s">
        <v>436</v>
      </c>
      <c r="L1" s="497" t="s">
        <v>437</v>
      </c>
      <c r="M1" s="497" t="s">
        <v>438</v>
      </c>
    </row>
    <row r="2" spans="1:13" ht="12.75">
      <c r="A2" s="500"/>
      <c r="B2" s="500"/>
      <c r="C2" s="501"/>
      <c r="D2" s="500"/>
      <c r="E2" s="501"/>
      <c r="F2" s="500"/>
      <c r="G2" s="502"/>
      <c r="H2" s="506"/>
      <c r="I2" s="506"/>
      <c r="J2" s="552"/>
      <c r="K2" s="556"/>
      <c r="L2" s="500"/>
      <c r="M2" s="556"/>
    </row>
    <row r="3" spans="1:15" s="567" customFormat="1" ht="12.75">
      <c r="A3" s="505" t="s">
        <v>347</v>
      </c>
      <c r="B3" s="505">
        <v>42.93</v>
      </c>
      <c r="C3" s="529">
        <f>B3/'Field recov'!R3</f>
        <v>42.93</v>
      </c>
      <c r="D3" s="507">
        <v>1514.7</v>
      </c>
      <c r="E3" s="529">
        <f>D3/'Field recov'!S3</f>
        <v>1664.5054945054944</v>
      </c>
      <c r="F3" s="507">
        <v>0.2567</v>
      </c>
      <c r="G3" s="598">
        <f>(F3*14)/('Field recov'!U3*2)</f>
        <v>2.530845070422535</v>
      </c>
      <c r="H3" s="566">
        <f>C3+E3</f>
        <v>1707.4354945054945</v>
      </c>
      <c r="I3" s="566">
        <f>C3</f>
        <v>42.93</v>
      </c>
      <c r="J3" s="585">
        <v>1.2</v>
      </c>
      <c r="K3" s="592">
        <f>H3/$J3</f>
        <v>1422.862912087912</v>
      </c>
      <c r="L3" s="592">
        <f>I3/$J3</f>
        <v>35.775</v>
      </c>
      <c r="M3" s="557">
        <f>G3/J3</f>
        <v>2.109037558685446</v>
      </c>
      <c r="O3" s="614"/>
    </row>
    <row r="4" spans="1:15" ht="12.75">
      <c r="A4" s="500" t="s">
        <v>348</v>
      </c>
      <c r="B4" s="500">
        <v>18.61</v>
      </c>
      <c r="C4" s="498">
        <f>B4/'Field recov'!R4</f>
        <v>18.61</v>
      </c>
      <c r="D4" s="503">
        <v>319.3</v>
      </c>
      <c r="E4" s="498">
        <f>D4/'Field recov'!S4</f>
        <v>523.4426229508197</v>
      </c>
      <c r="F4" s="503">
        <v>0.9035</v>
      </c>
      <c r="G4" s="599">
        <f>(F4*14)/('Field recov'!U4*2)</f>
        <v>8.90774647887324</v>
      </c>
      <c r="H4" s="580">
        <f aca="true" t="shared" si="0" ref="H4:H12">C4+E4</f>
        <v>542.0526229508197</v>
      </c>
      <c r="I4" s="580">
        <f aca="true" t="shared" si="1" ref="I4:I54">C4</f>
        <v>18.61</v>
      </c>
      <c r="J4" s="586">
        <v>1.5</v>
      </c>
      <c r="K4" s="556">
        <f aca="true" t="shared" si="2" ref="K4:K11">H4/J4</f>
        <v>361.3684153005465</v>
      </c>
      <c r="L4" s="556">
        <f aca="true" t="shared" si="3" ref="L4:L12">I4/$J4</f>
        <v>12.406666666666666</v>
      </c>
      <c r="M4" s="497">
        <f aca="true" t="shared" si="4" ref="M4:M12">G4/J4</f>
        <v>5.93849765258216</v>
      </c>
      <c r="O4" s="613"/>
    </row>
    <row r="5" spans="1:15" ht="12.75">
      <c r="A5" s="500" t="s">
        <v>349</v>
      </c>
      <c r="B5" s="500">
        <v>199.6</v>
      </c>
      <c r="C5" s="498">
        <f>B5/'Field recov'!R5</f>
        <v>199.6</v>
      </c>
      <c r="D5" s="503">
        <v>12123.8</v>
      </c>
      <c r="E5" s="498">
        <f>D5/'Field recov'!S5</f>
        <v>13322.857142857141</v>
      </c>
      <c r="F5" s="503">
        <v>1.896</v>
      </c>
      <c r="G5" s="599">
        <f>(F5*14)/('Field recov'!U5*2)</f>
        <v>18.69295774647887</v>
      </c>
      <c r="H5" s="580">
        <f t="shared" si="0"/>
        <v>13522.457142857142</v>
      </c>
      <c r="I5" s="580">
        <f t="shared" si="1"/>
        <v>199.6</v>
      </c>
      <c r="J5" s="586">
        <v>1.2</v>
      </c>
      <c r="K5" s="556">
        <f t="shared" si="2"/>
        <v>11268.714285714284</v>
      </c>
      <c r="L5" s="556">
        <f t="shared" si="3"/>
        <v>166.33333333333334</v>
      </c>
      <c r="M5" s="497">
        <f t="shared" si="4"/>
        <v>15.577464788732394</v>
      </c>
      <c r="O5" s="613"/>
    </row>
    <row r="6" spans="1:15" ht="12.75">
      <c r="A6" s="500" t="s">
        <v>350</v>
      </c>
      <c r="B6" s="500">
        <v>327.2</v>
      </c>
      <c r="C6" s="498">
        <f>B6/'Field recov'!R6</f>
        <v>327.2</v>
      </c>
      <c r="D6" s="503">
        <v>2019.4</v>
      </c>
      <c r="E6" s="498">
        <f>D6/'Field recov'!S6</f>
        <v>2219.120879120879</v>
      </c>
      <c r="F6" s="503">
        <v>0.2425</v>
      </c>
      <c r="G6" s="599">
        <f>(F6*14)/('Field recov'!U6*2)</f>
        <v>2.3908450704225355</v>
      </c>
      <c r="H6" s="580">
        <f t="shared" si="0"/>
        <v>2546.320879120879</v>
      </c>
      <c r="I6" s="580">
        <f t="shared" si="1"/>
        <v>327.2</v>
      </c>
      <c r="J6" s="586">
        <v>1.5</v>
      </c>
      <c r="K6" s="556">
        <f t="shared" si="2"/>
        <v>1697.5472527472527</v>
      </c>
      <c r="L6" s="556">
        <f t="shared" si="3"/>
        <v>218.13333333333333</v>
      </c>
      <c r="M6" s="497">
        <f t="shared" si="4"/>
        <v>1.5938967136150237</v>
      </c>
      <c r="O6" s="613"/>
    </row>
    <row r="7" spans="1:15" ht="12.75">
      <c r="A7" s="500" t="s">
        <v>351</v>
      </c>
      <c r="B7" s="500">
        <v>25.58</v>
      </c>
      <c r="C7" s="498">
        <f>B7/'Field recov'!R7</f>
        <v>25.58</v>
      </c>
      <c r="D7" s="503">
        <v>63.65</v>
      </c>
      <c r="E7" s="498">
        <f>D7/'Field recov'!S7</f>
        <v>104.34426229508196</v>
      </c>
      <c r="F7" s="503">
        <v>0.2564</v>
      </c>
      <c r="G7" s="599">
        <f>(F7*14)/('Field recov'!U7*2)</f>
        <v>2.5278873239436623</v>
      </c>
      <c r="H7" s="580">
        <f t="shared" si="0"/>
        <v>129.92426229508197</v>
      </c>
      <c r="I7" s="580">
        <f t="shared" si="1"/>
        <v>25.58</v>
      </c>
      <c r="J7" s="586">
        <v>0.75</v>
      </c>
      <c r="K7" s="556">
        <f t="shared" si="2"/>
        <v>173.23234972677596</v>
      </c>
      <c r="L7" s="556">
        <f t="shared" si="3"/>
        <v>34.10666666666666</v>
      </c>
      <c r="M7" s="497">
        <f t="shared" si="4"/>
        <v>3.3705164319248833</v>
      </c>
      <c r="O7" s="613"/>
    </row>
    <row r="8" spans="1:15" ht="12.75">
      <c r="A8" s="500" t="s">
        <v>352</v>
      </c>
      <c r="B8" s="500">
        <v>5.72</v>
      </c>
      <c r="C8" s="498">
        <f>B8/'Field recov'!R8</f>
        <v>5.72</v>
      </c>
      <c r="D8" s="503">
        <v>791.9</v>
      </c>
      <c r="E8" s="498">
        <f>D8/'Field recov'!S8</f>
        <v>1298.1967213114754</v>
      </c>
      <c r="F8" s="503">
        <v>3.566</v>
      </c>
      <c r="G8" s="599">
        <f>(F8*14)/('Field recov'!U8*2)</f>
        <v>35.15774647887324</v>
      </c>
      <c r="H8" s="580">
        <f t="shared" si="0"/>
        <v>1303.9167213114754</v>
      </c>
      <c r="I8" s="580">
        <f t="shared" si="1"/>
        <v>5.72</v>
      </c>
      <c r="J8" s="586">
        <v>0.75</v>
      </c>
      <c r="K8" s="556">
        <f t="shared" si="2"/>
        <v>1738.5556284153006</v>
      </c>
      <c r="L8" s="556">
        <f t="shared" si="3"/>
        <v>7.626666666666666</v>
      </c>
      <c r="M8" s="497">
        <f t="shared" si="4"/>
        <v>46.87699530516432</v>
      </c>
      <c r="O8" s="613"/>
    </row>
    <row r="9" spans="1:15" ht="12.75">
      <c r="A9" s="500" t="s">
        <v>353</v>
      </c>
      <c r="B9" s="500">
        <v>45.76</v>
      </c>
      <c r="C9" s="498">
        <f>B9/'Field recov'!R9</f>
        <v>45.76</v>
      </c>
      <c r="D9" s="500">
        <v>75.2</v>
      </c>
      <c r="E9" s="498">
        <f>D9/'Field recov'!S9</f>
        <v>123.27868852459017</v>
      </c>
      <c r="F9" s="500">
        <v>0.1201</v>
      </c>
      <c r="G9" s="599">
        <f>(F9*14)/('Field recov'!U9*2)</f>
        <v>1.1840845070422537</v>
      </c>
      <c r="H9" s="580">
        <f t="shared" si="0"/>
        <v>169.03868852459016</v>
      </c>
      <c r="I9" s="580">
        <f t="shared" si="1"/>
        <v>45.76</v>
      </c>
      <c r="J9" s="586">
        <v>0.9</v>
      </c>
      <c r="K9" s="556">
        <f t="shared" si="2"/>
        <v>187.82076502732238</v>
      </c>
      <c r="L9" s="556">
        <f t="shared" si="3"/>
        <v>50.84444444444444</v>
      </c>
      <c r="M9" s="497">
        <f t="shared" si="4"/>
        <v>1.3156494522691706</v>
      </c>
      <c r="O9" s="613"/>
    </row>
    <row r="10" spans="1:15" ht="12.75">
      <c r="A10" s="500" t="s">
        <v>354</v>
      </c>
      <c r="B10" s="500">
        <v>46.39</v>
      </c>
      <c r="C10" s="498">
        <f>B10/'Field recov'!R10</f>
        <v>46.39</v>
      </c>
      <c r="D10" s="503">
        <v>86.84</v>
      </c>
      <c r="E10" s="498">
        <f>D10/'Field recov'!S10</f>
        <v>142.36065573770492</v>
      </c>
      <c r="F10" s="503">
        <v>1.054</v>
      </c>
      <c r="G10" s="599">
        <f>(F10*14)/('Field recov'!U10*2.2)</f>
        <v>9.446862996158771</v>
      </c>
      <c r="H10" s="580">
        <f t="shared" si="0"/>
        <v>188.7506557377049</v>
      </c>
      <c r="I10" s="580">
        <f t="shared" si="1"/>
        <v>46.39</v>
      </c>
      <c r="J10" s="586">
        <v>1.2</v>
      </c>
      <c r="K10" s="556">
        <f t="shared" si="2"/>
        <v>157.2922131147541</v>
      </c>
      <c r="L10" s="556">
        <f t="shared" si="3"/>
        <v>38.65833333333334</v>
      </c>
      <c r="M10" s="497">
        <f t="shared" si="4"/>
        <v>7.872385830132309</v>
      </c>
      <c r="O10" s="613"/>
    </row>
    <row r="11" spans="1:15" ht="12.75">
      <c r="A11" s="500" t="s">
        <v>355</v>
      </c>
      <c r="B11" s="500">
        <v>12.59</v>
      </c>
      <c r="C11" s="498">
        <f>B11/'Field recov'!R11</f>
        <v>12.59</v>
      </c>
      <c r="D11" s="503">
        <v>1224.2</v>
      </c>
      <c r="E11" s="498">
        <f>D11/'Field recov'!S11</f>
        <v>2006.8852459016396</v>
      </c>
      <c r="F11" s="503">
        <v>0.8332</v>
      </c>
      <c r="G11" s="599">
        <f>(F11*14)/('Field recov'!U11*2)</f>
        <v>8.214647887323945</v>
      </c>
      <c r="H11" s="580">
        <f t="shared" si="0"/>
        <v>2019.4752459016395</v>
      </c>
      <c r="I11" s="580">
        <f t="shared" si="1"/>
        <v>12.59</v>
      </c>
      <c r="J11" s="586">
        <v>0.75</v>
      </c>
      <c r="K11" s="556">
        <f t="shared" si="2"/>
        <v>2692.633661202186</v>
      </c>
      <c r="L11" s="556">
        <f t="shared" si="3"/>
        <v>16.786666666666665</v>
      </c>
      <c r="M11" s="497">
        <f t="shared" si="4"/>
        <v>10.95286384976526</v>
      </c>
      <c r="O11" s="613"/>
    </row>
    <row r="12" spans="1:15" ht="12.75">
      <c r="A12" s="500" t="s">
        <v>356</v>
      </c>
      <c r="B12" s="500">
        <v>21.73</v>
      </c>
      <c r="C12" s="498">
        <f>B12/'Field recov'!R12</f>
        <v>21.73</v>
      </c>
      <c r="D12" s="500">
        <v>377.8</v>
      </c>
      <c r="E12" s="498">
        <f>D12/'Field recov'!S12</f>
        <v>619.344262295082</v>
      </c>
      <c r="F12" s="503">
        <v>0.903</v>
      </c>
      <c r="G12" s="599">
        <f>(F12*14)/('Field recov'!U12*2.2)</f>
        <v>8.093469910371319</v>
      </c>
      <c r="H12" s="580">
        <f t="shared" si="0"/>
        <v>641.074262295082</v>
      </c>
      <c r="I12" s="580">
        <f t="shared" si="1"/>
        <v>21.73</v>
      </c>
      <c r="J12" s="586">
        <v>1.2</v>
      </c>
      <c r="K12" s="556">
        <f>H12/J12</f>
        <v>534.2285519125684</v>
      </c>
      <c r="L12" s="556">
        <f t="shared" si="3"/>
        <v>18.108333333333334</v>
      </c>
      <c r="M12" s="497">
        <f t="shared" si="4"/>
        <v>6.7445582586427655</v>
      </c>
      <c r="O12" s="613"/>
    </row>
    <row r="13" spans="1:13" s="568" customFormat="1" ht="12.75">
      <c r="A13" s="537" t="s">
        <v>442</v>
      </c>
      <c r="C13" s="569"/>
      <c r="E13" s="569"/>
      <c r="G13" s="571"/>
      <c r="H13" s="569"/>
      <c r="I13" s="593"/>
      <c r="J13" s="594"/>
      <c r="K13" s="572"/>
      <c r="L13" s="594"/>
      <c r="M13" s="572"/>
    </row>
    <row r="14" spans="1:9" ht="12.75">
      <c r="A14" s="523" t="s">
        <v>443</v>
      </c>
      <c r="I14" s="580"/>
    </row>
    <row r="15" spans="1:9" ht="12.75">
      <c r="A15" s="523" t="s">
        <v>444</v>
      </c>
      <c r="I15" s="580"/>
    </row>
    <row r="16" spans="1:9" ht="12.75">
      <c r="A16" s="523" t="s">
        <v>445</v>
      </c>
      <c r="I16" s="580"/>
    </row>
    <row r="17" spans="1:9" ht="12.75">
      <c r="A17" s="523" t="s">
        <v>446</v>
      </c>
      <c r="I17" s="580"/>
    </row>
    <row r="18" spans="1:9" ht="12.75">
      <c r="A18" s="523" t="s">
        <v>447</v>
      </c>
      <c r="I18" s="580"/>
    </row>
    <row r="19" spans="1:13" s="568" customFormat="1" ht="12.75">
      <c r="A19" s="537" t="s">
        <v>448</v>
      </c>
      <c r="C19" s="569"/>
      <c r="E19" s="569"/>
      <c r="G19" s="571"/>
      <c r="H19" s="569"/>
      <c r="I19" s="593"/>
      <c r="J19" s="594"/>
      <c r="K19" s="572"/>
      <c r="L19" s="594"/>
      <c r="M19" s="572"/>
    </row>
    <row r="20" spans="1:9" ht="12.75">
      <c r="A20" s="523" t="s">
        <v>449</v>
      </c>
      <c r="I20" s="580"/>
    </row>
    <row r="21" spans="1:9" ht="12.75">
      <c r="A21" s="523" t="s">
        <v>450</v>
      </c>
      <c r="I21" s="580"/>
    </row>
    <row r="22" spans="1:9" ht="12.75">
      <c r="A22" s="523" t="s">
        <v>451</v>
      </c>
      <c r="I22" s="580"/>
    </row>
    <row r="23" spans="1:9" ht="12.75">
      <c r="A23" s="523" t="s">
        <v>452</v>
      </c>
      <c r="I23" s="580"/>
    </row>
    <row r="24" spans="1:9" ht="12.75">
      <c r="A24" s="523" t="s">
        <v>453</v>
      </c>
      <c r="I24" s="580"/>
    </row>
    <row r="25" spans="1:9" ht="12.75">
      <c r="A25" s="523" t="s">
        <v>454</v>
      </c>
      <c r="I25" s="580"/>
    </row>
    <row r="26" spans="1:9" ht="12.75">
      <c r="A26" s="523" t="s">
        <v>455</v>
      </c>
      <c r="I26" s="580"/>
    </row>
    <row r="27" spans="1:9" ht="12.75">
      <c r="A27" s="523" t="s">
        <v>456</v>
      </c>
      <c r="I27" s="580"/>
    </row>
    <row r="28" spans="1:9" ht="12.75">
      <c r="A28" s="523" t="s">
        <v>457</v>
      </c>
      <c r="I28" s="580"/>
    </row>
    <row r="29" spans="1:9" ht="12.75">
      <c r="A29" s="523" t="s">
        <v>458</v>
      </c>
      <c r="I29" s="580"/>
    </row>
    <row r="30" spans="1:9" ht="12.75">
      <c r="A30" s="523" t="s">
        <v>459</v>
      </c>
      <c r="I30" s="580"/>
    </row>
    <row r="31" spans="1:9" ht="12.75">
      <c r="A31" s="523" t="s">
        <v>460</v>
      </c>
      <c r="I31" s="580"/>
    </row>
    <row r="32" spans="1:9" ht="12.75">
      <c r="A32" s="523" t="s">
        <v>461</v>
      </c>
      <c r="I32" s="580"/>
    </row>
    <row r="33" spans="1:9" ht="12.75">
      <c r="A33" s="523" t="s">
        <v>462</v>
      </c>
      <c r="I33" s="580"/>
    </row>
    <row r="34" spans="1:9" ht="12.75">
      <c r="A34" s="523" t="s">
        <v>463</v>
      </c>
      <c r="I34" s="580"/>
    </row>
    <row r="35" spans="1:15" s="567" customFormat="1" ht="12.75">
      <c r="A35" s="505" t="s">
        <v>219</v>
      </c>
      <c r="B35" s="507">
        <v>6.29</v>
      </c>
      <c r="C35" s="529">
        <f>B35/'Field recov'!R35</f>
        <v>6.29</v>
      </c>
      <c r="D35" s="507">
        <v>340.1</v>
      </c>
      <c r="E35" s="529">
        <f>D35/'Field recov'!S35</f>
        <v>557.5409836065575</v>
      </c>
      <c r="F35" s="507">
        <v>1.1039999999999999</v>
      </c>
      <c r="G35" s="600">
        <f>(F35*14)/('Field recov'!U35*2)</f>
        <v>10.88450704225352</v>
      </c>
      <c r="H35" s="566">
        <f>C35+E35</f>
        <v>563.8309836065574</v>
      </c>
      <c r="I35" s="566">
        <f t="shared" si="1"/>
        <v>6.29</v>
      </c>
      <c r="J35" s="507">
        <v>1.2</v>
      </c>
      <c r="K35" s="592">
        <f aca="true" t="shared" si="5" ref="K35:K54">H35/J35</f>
        <v>469.8591530054645</v>
      </c>
      <c r="L35" s="592">
        <f aca="true" t="shared" si="6" ref="L35:L41">I35/$J35</f>
        <v>5.241666666666667</v>
      </c>
      <c r="M35" s="557">
        <f aca="true" t="shared" si="7" ref="M35:M54">G35/J35</f>
        <v>9.070422535211268</v>
      </c>
      <c r="N35" s="505"/>
      <c r="O35" s="610"/>
    </row>
    <row r="36" spans="1:15" ht="12.75">
      <c r="A36" s="500" t="s">
        <v>220</v>
      </c>
      <c r="B36" s="503">
        <v>4.763</v>
      </c>
      <c r="C36" s="498">
        <f>B36/'Field recov'!R36</f>
        <v>4.763</v>
      </c>
      <c r="D36" s="503">
        <v>66.5</v>
      </c>
      <c r="E36" s="498">
        <f>D36/'Field recov'!S36</f>
        <v>109.01639344262296</v>
      </c>
      <c r="F36" s="503" t="s">
        <v>464</v>
      </c>
      <c r="G36" s="601">
        <f>(0.05*14)/2</f>
        <v>0.35000000000000003</v>
      </c>
      <c r="H36" s="580">
        <f aca="true" t="shared" si="8" ref="H36:H54">C36+E36</f>
        <v>113.77939344262296</v>
      </c>
      <c r="I36" s="580">
        <f t="shared" si="1"/>
        <v>4.763</v>
      </c>
      <c r="J36" s="587">
        <v>0.75</v>
      </c>
      <c r="K36" s="556">
        <f t="shared" si="5"/>
        <v>151.7058579234973</v>
      </c>
      <c r="L36" s="556">
        <f t="shared" si="6"/>
        <v>6.350666666666666</v>
      </c>
      <c r="M36" s="497">
        <f t="shared" si="7"/>
        <v>0.46666666666666673</v>
      </c>
      <c r="N36" s="500"/>
      <c r="O36" s="611"/>
    </row>
    <row r="37" spans="1:15" ht="12.75">
      <c r="A37" s="500" t="s">
        <v>221</v>
      </c>
      <c r="B37" s="503">
        <v>34.4</v>
      </c>
      <c r="C37" s="498">
        <f>B37/'Field recov'!R37</f>
        <v>34.4</v>
      </c>
      <c r="D37" s="503">
        <v>844.7</v>
      </c>
      <c r="E37" s="498">
        <f>D37/'Field recov'!S37</f>
        <v>1384.754098360656</v>
      </c>
      <c r="F37" s="503">
        <v>4.314</v>
      </c>
      <c r="G37" s="601">
        <f>(F37*14)/('Field recov'!U37*2)</f>
        <v>42.53239436619719</v>
      </c>
      <c r="H37" s="580">
        <f t="shared" si="8"/>
        <v>1419.154098360656</v>
      </c>
      <c r="I37" s="580">
        <f t="shared" si="1"/>
        <v>34.4</v>
      </c>
      <c r="J37" s="587">
        <v>1.5</v>
      </c>
      <c r="K37" s="556">
        <f t="shared" si="5"/>
        <v>946.1027322404374</v>
      </c>
      <c r="L37" s="556">
        <f t="shared" si="6"/>
        <v>22.933333333333334</v>
      </c>
      <c r="M37" s="497">
        <f t="shared" si="7"/>
        <v>28.35492957746479</v>
      </c>
      <c r="N37" s="500"/>
      <c r="O37" s="611"/>
    </row>
    <row r="38" spans="1:15" ht="12.75">
      <c r="A38" s="500" t="s">
        <v>222</v>
      </c>
      <c r="B38" s="503">
        <v>26.72</v>
      </c>
      <c r="C38" s="498">
        <f>B38/'Field recov'!R38</f>
        <v>26.72</v>
      </c>
      <c r="D38" s="503">
        <v>245.9</v>
      </c>
      <c r="E38" s="498">
        <f>D38/'Field recov'!S38</f>
        <v>403.11475409836066</v>
      </c>
      <c r="F38" s="503" t="s">
        <v>464</v>
      </c>
      <c r="G38" s="601">
        <f>(0.05*14)/2</f>
        <v>0.35000000000000003</v>
      </c>
      <c r="H38" s="580">
        <f t="shared" si="8"/>
        <v>429.8347540983607</v>
      </c>
      <c r="I38" s="580">
        <f t="shared" si="1"/>
        <v>26.72</v>
      </c>
      <c r="J38" s="587">
        <v>0.9</v>
      </c>
      <c r="K38" s="556">
        <f t="shared" si="5"/>
        <v>477.59417122040077</v>
      </c>
      <c r="L38" s="556">
        <f t="shared" si="6"/>
        <v>29.688888888888886</v>
      </c>
      <c r="M38" s="497">
        <f t="shared" si="7"/>
        <v>0.3888888888888889</v>
      </c>
      <c r="N38" s="500"/>
      <c r="O38" s="611"/>
    </row>
    <row r="39" spans="1:15" ht="12.75">
      <c r="A39" s="500" t="s">
        <v>223</v>
      </c>
      <c r="B39" s="503">
        <v>21.61</v>
      </c>
      <c r="C39" s="498">
        <f>B39/'Field recov'!R39</f>
        <v>21.61</v>
      </c>
      <c r="D39" s="503">
        <v>254.2</v>
      </c>
      <c r="E39" s="498">
        <f>D39/'Field recov'!S39</f>
        <v>416.72131147540983</v>
      </c>
      <c r="F39" s="503">
        <v>0.1747</v>
      </c>
      <c r="G39" s="601">
        <f>(F39*14)/('Field recov'!U39*2)</f>
        <v>1.722394366197183</v>
      </c>
      <c r="H39" s="580">
        <f t="shared" si="8"/>
        <v>438.33131147540985</v>
      </c>
      <c r="I39" s="580">
        <f t="shared" si="1"/>
        <v>21.61</v>
      </c>
      <c r="J39" s="587">
        <v>1.6</v>
      </c>
      <c r="K39" s="556">
        <f t="shared" si="5"/>
        <v>273.9570696721311</v>
      </c>
      <c r="L39" s="556">
        <f t="shared" si="6"/>
        <v>13.50625</v>
      </c>
      <c r="M39" s="497">
        <f t="shared" si="7"/>
        <v>1.0764964788732394</v>
      </c>
      <c r="N39" s="500"/>
      <c r="O39" s="611"/>
    </row>
    <row r="40" spans="1:15" ht="12.75">
      <c r="A40" s="500" t="s">
        <v>224</v>
      </c>
      <c r="B40" s="503">
        <v>77.6</v>
      </c>
      <c r="C40" s="498">
        <f>B40/'Field recov'!R40</f>
        <v>77.6</v>
      </c>
      <c r="D40" s="503">
        <v>256.1</v>
      </c>
      <c r="E40" s="498">
        <f>D40/'Field recov'!S40</f>
        <v>419.83606557377055</v>
      </c>
      <c r="F40" s="503">
        <v>0.1598</v>
      </c>
      <c r="G40" s="601">
        <f>(F40*14)/('Field recov'!U40*2.2)</f>
        <v>1.4322663252240717</v>
      </c>
      <c r="H40" s="580">
        <f t="shared" si="8"/>
        <v>497.4360655737705</v>
      </c>
      <c r="I40" s="580">
        <f t="shared" si="1"/>
        <v>77.6</v>
      </c>
      <c r="J40" s="587">
        <v>0.75</v>
      </c>
      <c r="K40" s="556">
        <f t="shared" si="5"/>
        <v>663.248087431694</v>
      </c>
      <c r="L40" s="556">
        <f t="shared" si="6"/>
        <v>103.46666666666665</v>
      </c>
      <c r="M40" s="497">
        <f t="shared" si="7"/>
        <v>1.9096884336320956</v>
      </c>
      <c r="N40" s="500"/>
      <c r="O40" s="611"/>
    </row>
    <row r="41" spans="1:15" ht="12.75">
      <c r="A41" s="500" t="s">
        <v>225</v>
      </c>
      <c r="B41" s="503">
        <v>4.287</v>
      </c>
      <c r="C41" s="498">
        <f>B41/'Field recov'!R41</f>
        <v>4.287</v>
      </c>
      <c r="D41" s="503">
        <v>327.3</v>
      </c>
      <c r="E41" s="498">
        <f>D41/'Field recov'!S41</f>
        <v>536.5573770491803</v>
      </c>
      <c r="F41" s="503">
        <v>4.708</v>
      </c>
      <c r="G41" s="601">
        <f>(F41*14)/('Field recov'!U41*2.3)</f>
        <v>40.362522963870184</v>
      </c>
      <c r="H41" s="580">
        <f t="shared" si="8"/>
        <v>540.8443770491804</v>
      </c>
      <c r="I41" s="580">
        <f t="shared" si="1"/>
        <v>4.287</v>
      </c>
      <c r="J41" s="587">
        <v>1.3</v>
      </c>
      <c r="K41" s="556">
        <f t="shared" si="5"/>
        <v>416.0341361916772</v>
      </c>
      <c r="L41" s="556">
        <f t="shared" si="6"/>
        <v>3.2976923076923077</v>
      </c>
      <c r="M41" s="497">
        <f t="shared" si="7"/>
        <v>31.04809458759245</v>
      </c>
      <c r="N41" s="500"/>
      <c r="O41" s="611"/>
    </row>
    <row r="42" spans="1:15" ht="12.75">
      <c r="A42" s="500" t="s">
        <v>226</v>
      </c>
      <c r="B42" s="524"/>
      <c r="C42" s="498"/>
      <c r="D42" s="500">
        <v>77.93</v>
      </c>
      <c r="E42" s="498">
        <f>D42/'Field recov'!S42</f>
        <v>127.75409836065575</v>
      </c>
      <c r="F42" s="503">
        <v>1.127</v>
      </c>
      <c r="G42" s="601">
        <f>(F42*14)/('Field recov'!U42*2.2)</f>
        <v>10.101152368758003</v>
      </c>
      <c r="H42" s="580">
        <f>E42</f>
        <v>127.75409836065575</v>
      </c>
      <c r="I42" s="580">
        <f t="shared" si="1"/>
        <v>0</v>
      </c>
      <c r="J42" s="587">
        <v>0.75</v>
      </c>
      <c r="K42" s="556">
        <f t="shared" si="5"/>
        <v>170.33879781420765</v>
      </c>
      <c r="L42" s="556"/>
      <c r="M42" s="497">
        <f t="shared" si="7"/>
        <v>13.468203158344004</v>
      </c>
      <c r="N42" s="500"/>
      <c r="O42" s="611"/>
    </row>
    <row r="43" spans="1:15" ht="12.75">
      <c r="A43" s="500" t="s">
        <v>227</v>
      </c>
      <c r="B43" s="503">
        <v>20.27</v>
      </c>
      <c r="C43" s="498">
        <f>B43/'Field recov'!R43</f>
        <v>20.27</v>
      </c>
      <c r="D43" s="503">
        <v>17.82</v>
      </c>
      <c r="E43" s="498">
        <f>D43/'Field recov'!S43</f>
        <v>29.213114754098363</v>
      </c>
      <c r="F43" s="503">
        <v>0.5011</v>
      </c>
      <c r="G43" s="601">
        <f>(F43*14)/('Field recov'!U43*2)</f>
        <v>4.940422535211267</v>
      </c>
      <c r="H43" s="580">
        <f t="shared" si="8"/>
        <v>49.48311475409837</v>
      </c>
      <c r="I43" s="580">
        <f t="shared" si="1"/>
        <v>20.27</v>
      </c>
      <c r="J43" s="587">
        <v>1.05</v>
      </c>
      <c r="K43" s="556">
        <f t="shared" si="5"/>
        <v>47.126775956284156</v>
      </c>
      <c r="L43" s="556">
        <f aca="true" t="shared" si="9" ref="L43:L54">I43/$J43</f>
        <v>19.304761904761904</v>
      </c>
      <c r="M43" s="497">
        <f t="shared" si="7"/>
        <v>4.7051643192488255</v>
      </c>
      <c r="N43" s="500"/>
      <c r="O43" s="611"/>
    </row>
    <row r="44" spans="1:15" ht="12.75">
      <c r="A44" s="500" t="s">
        <v>228</v>
      </c>
      <c r="B44" s="503">
        <v>13.93</v>
      </c>
      <c r="C44" s="498">
        <f>B44/'Field recov'!R44</f>
        <v>13.93</v>
      </c>
      <c r="D44" s="503">
        <v>136.4</v>
      </c>
      <c r="E44" s="498">
        <f>D44/'Field recov'!S44</f>
        <v>223.6065573770492</v>
      </c>
      <c r="F44" s="503" t="s">
        <v>464</v>
      </c>
      <c r="G44" s="601">
        <f>(0.05*14)/2</f>
        <v>0.35000000000000003</v>
      </c>
      <c r="H44" s="580">
        <f t="shared" si="8"/>
        <v>237.5365573770492</v>
      </c>
      <c r="I44" s="580">
        <f t="shared" si="1"/>
        <v>13.93</v>
      </c>
      <c r="J44" s="587">
        <v>1.5</v>
      </c>
      <c r="K44" s="556">
        <f t="shared" si="5"/>
        <v>158.3577049180328</v>
      </c>
      <c r="L44" s="556">
        <f t="shared" si="9"/>
        <v>9.286666666666667</v>
      </c>
      <c r="M44" s="497">
        <f t="shared" si="7"/>
        <v>0.23333333333333336</v>
      </c>
      <c r="N44" s="500"/>
      <c r="O44" s="611"/>
    </row>
    <row r="45" spans="1:15" s="567" customFormat="1" ht="12.75">
      <c r="A45" s="505" t="s">
        <v>260</v>
      </c>
      <c r="B45" s="507">
        <v>3389</v>
      </c>
      <c r="C45" s="529">
        <f>B45/'Field recov'!R45</f>
        <v>3389</v>
      </c>
      <c r="D45" s="507">
        <v>93130</v>
      </c>
      <c r="E45" s="529">
        <f>D45/'Field recov'!S45</f>
        <v>103477.77777777778</v>
      </c>
      <c r="F45" s="507">
        <v>378.1</v>
      </c>
      <c r="G45" s="600">
        <f>(F45*14)/('Field recov'!U45*1.98)</f>
        <v>3145.2168746286397</v>
      </c>
      <c r="H45" s="566">
        <f t="shared" si="8"/>
        <v>106866.77777777778</v>
      </c>
      <c r="I45" s="566">
        <f t="shared" si="1"/>
        <v>3389</v>
      </c>
      <c r="J45" s="505">
        <v>7.65</v>
      </c>
      <c r="K45" s="592">
        <f t="shared" si="5"/>
        <v>13969.513435003631</v>
      </c>
      <c r="L45" s="592">
        <f t="shared" si="9"/>
        <v>443.0065359477124</v>
      </c>
      <c r="M45" s="557">
        <f t="shared" si="7"/>
        <v>411.1394607357699</v>
      </c>
      <c r="O45" s="615"/>
    </row>
    <row r="46" spans="1:15" ht="12.75">
      <c r="A46" s="500" t="s">
        <v>261</v>
      </c>
      <c r="B46" s="503">
        <v>1069</v>
      </c>
      <c r="C46" s="498">
        <f>B46/'Field recov'!R46</f>
        <v>1069</v>
      </c>
      <c r="D46" s="503">
        <v>31640</v>
      </c>
      <c r="E46" s="498">
        <f>D46/'Field recov'!S46</f>
        <v>35155.555555555555</v>
      </c>
      <c r="F46" s="503">
        <v>109.9</v>
      </c>
      <c r="G46" s="601">
        <f>(F46*14)/('Field recov'!U46*1.88)</f>
        <v>962.8285356695872</v>
      </c>
      <c r="H46" s="580">
        <f t="shared" si="8"/>
        <v>36224.555555555555</v>
      </c>
      <c r="I46" s="580">
        <f t="shared" si="1"/>
        <v>1069</v>
      </c>
      <c r="J46" s="587">
        <v>5.61</v>
      </c>
      <c r="K46" s="556">
        <f t="shared" si="5"/>
        <v>6457.140027728263</v>
      </c>
      <c r="L46" s="556">
        <f t="shared" si="9"/>
        <v>190.5525846702317</v>
      </c>
      <c r="M46" s="497">
        <f t="shared" si="7"/>
        <v>171.62718995892817</v>
      </c>
      <c r="O46" s="616"/>
    </row>
    <row r="47" spans="1:15" ht="12.75">
      <c r="A47" s="500" t="s">
        <v>262</v>
      </c>
      <c r="B47" s="503">
        <v>4179</v>
      </c>
      <c r="C47" s="498">
        <f>B47/'Field recov'!R47</f>
        <v>4179</v>
      </c>
      <c r="D47" s="503">
        <v>52300</v>
      </c>
      <c r="E47" s="498">
        <f>D47/'Field recov'!S47</f>
        <v>58111.11111111111</v>
      </c>
      <c r="F47" s="503">
        <v>128.7</v>
      </c>
      <c r="G47" s="601">
        <f>(F47*14)/('Field recov'!U47*1.9)</f>
        <v>1115.6656346749223</v>
      </c>
      <c r="H47" s="580">
        <f t="shared" si="8"/>
        <v>62290.11111111111</v>
      </c>
      <c r="I47" s="580">
        <f t="shared" si="1"/>
        <v>4179</v>
      </c>
      <c r="J47" s="588">
        <v>5.1</v>
      </c>
      <c r="K47" s="556">
        <f t="shared" si="5"/>
        <v>12213.747276688453</v>
      </c>
      <c r="L47" s="556">
        <f t="shared" si="9"/>
        <v>819.4117647058824</v>
      </c>
      <c r="M47" s="497">
        <f t="shared" si="7"/>
        <v>218.7579675833181</v>
      </c>
      <c r="O47" s="616"/>
    </row>
    <row r="48" spans="1:15" ht="12.75">
      <c r="A48" s="500" t="s">
        <v>263</v>
      </c>
      <c r="B48" s="503">
        <v>283.1</v>
      </c>
      <c r="C48" s="498">
        <f>B48/'Field recov'!R48</f>
        <v>283.1</v>
      </c>
      <c r="D48" s="503">
        <v>85620</v>
      </c>
      <c r="E48" s="498">
        <f>D48/'Field recov'!S48</f>
        <v>95133.33333333333</v>
      </c>
      <c r="F48" s="503">
        <v>62.26</v>
      </c>
      <c r="G48" s="601">
        <f>(F48*14)/('Field recov'!U48*1.95)</f>
        <v>525.8763197586727</v>
      </c>
      <c r="H48" s="580">
        <f t="shared" si="8"/>
        <v>95416.43333333333</v>
      </c>
      <c r="I48" s="580">
        <f t="shared" si="1"/>
        <v>283.1</v>
      </c>
      <c r="J48" s="588">
        <v>6.8</v>
      </c>
      <c r="K48" s="556">
        <f t="shared" si="5"/>
        <v>14031.828431372549</v>
      </c>
      <c r="L48" s="556">
        <f t="shared" si="9"/>
        <v>41.63235294117648</v>
      </c>
      <c r="M48" s="497">
        <f t="shared" si="7"/>
        <v>77.33475290568717</v>
      </c>
      <c r="O48" s="616"/>
    </row>
    <row r="49" spans="1:15" ht="12.75">
      <c r="A49" s="500" t="s">
        <v>264</v>
      </c>
      <c r="B49" s="503">
        <v>614.2</v>
      </c>
      <c r="C49" s="498">
        <f>B49/'Field recov'!R49</f>
        <v>614.2</v>
      </c>
      <c r="D49" s="503">
        <v>18940</v>
      </c>
      <c r="E49" s="498">
        <f>D49/'Field recov'!S49</f>
        <v>21044.444444444445</v>
      </c>
      <c r="F49" s="503">
        <v>154.8</v>
      </c>
      <c r="G49" s="601">
        <f>(F49*14)/('Field recov'!U49*1.9)</f>
        <v>1341.9195046439631</v>
      </c>
      <c r="H49" s="580">
        <f t="shared" si="8"/>
        <v>21658.644444444446</v>
      </c>
      <c r="I49" s="580">
        <f t="shared" si="1"/>
        <v>614.2</v>
      </c>
      <c r="J49" s="588">
        <v>6.8</v>
      </c>
      <c r="K49" s="556">
        <f t="shared" si="5"/>
        <v>3185.0947712418306</v>
      </c>
      <c r="L49" s="556">
        <f t="shared" si="9"/>
        <v>90.32352941176471</v>
      </c>
      <c r="M49" s="497">
        <f t="shared" si="7"/>
        <v>197.34110362411224</v>
      </c>
      <c r="O49" s="616"/>
    </row>
    <row r="50" spans="1:15" ht="12.75">
      <c r="A50" s="500" t="s">
        <v>265</v>
      </c>
      <c r="B50" s="503">
        <v>916</v>
      </c>
      <c r="C50" s="498">
        <f>B50/'Field recov'!R50</f>
        <v>916</v>
      </c>
      <c r="D50" s="503">
        <v>71240</v>
      </c>
      <c r="E50" s="498">
        <f>D50/'Field recov'!S50</f>
        <v>79155.55555555555</v>
      </c>
      <c r="F50" s="503">
        <v>51.02</v>
      </c>
      <c r="G50" s="601">
        <f>(F50*14)/('Field recov'!U50*1.9)</f>
        <v>442.2786377708979</v>
      </c>
      <c r="H50" s="580">
        <f t="shared" si="8"/>
        <v>80071.55555555555</v>
      </c>
      <c r="I50" s="580">
        <f t="shared" si="1"/>
        <v>916</v>
      </c>
      <c r="J50" s="587">
        <v>9.35</v>
      </c>
      <c r="K50" s="556">
        <f t="shared" si="5"/>
        <v>8563.802733214497</v>
      </c>
      <c r="L50" s="556">
        <f t="shared" si="9"/>
        <v>97.96791443850267</v>
      </c>
      <c r="M50" s="497">
        <f t="shared" si="7"/>
        <v>47.30252810383935</v>
      </c>
      <c r="O50" s="616"/>
    </row>
    <row r="51" spans="1:15" ht="12.75">
      <c r="A51" s="500" t="s">
        <v>266</v>
      </c>
      <c r="B51" s="503">
        <v>2997</v>
      </c>
      <c r="C51" s="498">
        <f>B51/'Field recov'!R51</f>
        <v>2997</v>
      </c>
      <c r="D51" s="503">
        <v>38600</v>
      </c>
      <c r="E51" s="498">
        <f>D51/'Field recov'!S51</f>
        <v>42888.88888888889</v>
      </c>
      <c r="F51" s="503">
        <v>262.2</v>
      </c>
      <c r="G51" s="601">
        <f>(F51*14)/('Field recov'!U51*1.95)</f>
        <v>2214.6606334841626</v>
      </c>
      <c r="H51" s="580">
        <f t="shared" si="8"/>
        <v>45885.88888888889</v>
      </c>
      <c r="I51" s="580">
        <f t="shared" si="1"/>
        <v>2997</v>
      </c>
      <c r="J51" s="587">
        <v>7.48</v>
      </c>
      <c r="K51" s="556">
        <f t="shared" si="5"/>
        <v>6134.477124183007</v>
      </c>
      <c r="L51" s="556">
        <f t="shared" si="9"/>
        <v>400.6684491978609</v>
      </c>
      <c r="M51" s="497">
        <f t="shared" si="7"/>
        <v>296.07762479734794</v>
      </c>
      <c r="O51" s="616"/>
    </row>
    <row r="52" spans="1:15" ht="12.75">
      <c r="A52" s="500" t="s">
        <v>267</v>
      </c>
      <c r="B52" s="503">
        <v>2200</v>
      </c>
      <c r="C52" s="498">
        <f>B52/'Field recov'!R52</f>
        <v>2200</v>
      </c>
      <c r="D52" s="503">
        <v>77390</v>
      </c>
      <c r="E52" s="498">
        <f>D52/'Field recov'!S52</f>
        <v>85988.88888888889</v>
      </c>
      <c r="F52" s="503">
        <v>454.4</v>
      </c>
      <c r="G52" s="601">
        <f>(F52*14)/('Field recov'!U52*1.9)</f>
        <v>3939.07120743034</v>
      </c>
      <c r="H52" s="580">
        <f t="shared" si="8"/>
        <v>88188.88888888889</v>
      </c>
      <c r="I52" s="580">
        <f t="shared" si="1"/>
        <v>2200</v>
      </c>
      <c r="J52" s="587">
        <v>7.65</v>
      </c>
      <c r="K52" s="556">
        <f t="shared" si="5"/>
        <v>11527.9593318809</v>
      </c>
      <c r="L52" s="556">
        <f t="shared" si="9"/>
        <v>287.58169934640523</v>
      </c>
      <c r="M52" s="497">
        <f t="shared" si="7"/>
        <v>514.9112689451425</v>
      </c>
      <c r="O52" s="616"/>
    </row>
    <row r="53" spans="1:15" ht="12.75">
      <c r="A53" s="500" t="s">
        <v>268</v>
      </c>
      <c r="B53" s="503">
        <v>94.6</v>
      </c>
      <c r="C53" s="498">
        <f>B53/'Field recov'!R53</f>
        <v>94.6</v>
      </c>
      <c r="D53" s="503">
        <v>58680</v>
      </c>
      <c r="E53" s="498">
        <f>D53/'Field recov'!S53</f>
        <v>65200</v>
      </c>
      <c r="F53" s="503">
        <v>84.04</v>
      </c>
      <c r="G53" s="601">
        <f>(F53*14)/('Field recov'!U53*1.95)</f>
        <v>709.8401206636502</v>
      </c>
      <c r="H53" s="580">
        <f t="shared" si="8"/>
        <v>65294.6</v>
      </c>
      <c r="I53" s="580">
        <f t="shared" si="1"/>
        <v>94.6</v>
      </c>
      <c r="J53" s="588">
        <v>6.8</v>
      </c>
      <c r="K53" s="556">
        <f t="shared" si="5"/>
        <v>9602.14705882353</v>
      </c>
      <c r="L53" s="556">
        <f t="shared" si="9"/>
        <v>13.911764705882353</v>
      </c>
      <c r="M53" s="497">
        <f t="shared" si="7"/>
        <v>104.38825303877209</v>
      </c>
      <c r="O53" s="616"/>
    </row>
    <row r="54" spans="1:15" ht="12.75">
      <c r="A54" s="500" t="s">
        <v>269</v>
      </c>
      <c r="B54" s="503">
        <v>349.7</v>
      </c>
      <c r="C54" s="498">
        <f>B54/'Field recov'!R54</f>
        <v>349.7</v>
      </c>
      <c r="D54" s="503">
        <v>132800</v>
      </c>
      <c r="E54" s="498">
        <f>D54/'Field recov'!S54</f>
        <v>147555.55555555556</v>
      </c>
      <c r="F54" s="503">
        <v>369.1</v>
      </c>
      <c r="G54" s="601">
        <f>(F54*14)/('Field recov'!U54*1.8)</f>
        <v>3377.385620915033</v>
      </c>
      <c r="H54" s="580">
        <f t="shared" si="8"/>
        <v>147905.25555555557</v>
      </c>
      <c r="I54" s="580">
        <f t="shared" si="1"/>
        <v>349.7</v>
      </c>
      <c r="J54" s="587">
        <v>9.18</v>
      </c>
      <c r="K54" s="556">
        <f t="shared" si="5"/>
        <v>16111.683611716295</v>
      </c>
      <c r="L54" s="556">
        <f t="shared" si="9"/>
        <v>38.09368191721133</v>
      </c>
      <c r="M54" s="497">
        <f t="shared" si="7"/>
        <v>367.90693038290124</v>
      </c>
      <c r="O54" s="616"/>
    </row>
    <row r="55" spans="1:13" ht="12.75">
      <c r="A55" s="511" t="s">
        <v>465</v>
      </c>
      <c r="I55" s="580"/>
      <c r="L55" s="556"/>
      <c r="M55" s="497"/>
    </row>
    <row r="56" spans="1:13" ht="12.75">
      <c r="A56" s="511" t="s">
        <v>466</v>
      </c>
      <c r="I56" s="580"/>
      <c r="L56" s="556"/>
      <c r="M56" s="497"/>
    </row>
    <row r="57" spans="1:13" ht="12.75">
      <c r="A57" s="511" t="s">
        <v>467</v>
      </c>
      <c r="I57" s="580"/>
      <c r="L57" s="556"/>
      <c r="M57" s="497"/>
    </row>
    <row r="58" spans="1:13" ht="12.75">
      <c r="A58" s="511" t="s">
        <v>468</v>
      </c>
      <c r="I58" s="580"/>
      <c r="L58" s="556"/>
      <c r="M58" s="497"/>
    </row>
    <row r="59" spans="1:13" ht="12.75">
      <c r="A59" s="511" t="s">
        <v>469</v>
      </c>
      <c r="I59" s="580"/>
      <c r="L59" s="556"/>
      <c r="M59" s="497"/>
    </row>
    <row r="60" spans="1:13" ht="12.75">
      <c r="A60" s="511" t="s">
        <v>470</v>
      </c>
      <c r="I60" s="580"/>
      <c r="L60" s="556"/>
      <c r="M60" s="497"/>
    </row>
    <row r="61" spans="1:13" ht="12.75">
      <c r="A61" s="511" t="s">
        <v>471</v>
      </c>
      <c r="I61" s="580"/>
      <c r="L61" s="556"/>
      <c r="M61" s="497"/>
    </row>
    <row r="62" spans="1:13" ht="12.75">
      <c r="A62" s="511" t="s">
        <v>472</v>
      </c>
      <c r="I62" s="580"/>
      <c r="L62" s="556"/>
      <c r="M62" s="497"/>
    </row>
    <row r="63" spans="1:13" ht="12.75">
      <c r="A63" s="511" t="s">
        <v>473</v>
      </c>
      <c r="I63" s="580"/>
      <c r="L63" s="556"/>
      <c r="M63" s="497"/>
    </row>
    <row r="64" spans="1:13" ht="12.75">
      <c r="A64" s="511" t="s">
        <v>474</v>
      </c>
      <c r="I64" s="580"/>
      <c r="L64" s="556"/>
      <c r="M64" s="497"/>
    </row>
    <row r="65" spans="1:13" ht="12.75">
      <c r="A65" s="511" t="s">
        <v>475</v>
      </c>
      <c r="I65" s="580"/>
      <c r="L65" s="556"/>
      <c r="M65" s="497"/>
    </row>
    <row r="66" spans="1:13" ht="12.75">
      <c r="A66" s="511" t="s">
        <v>476</v>
      </c>
      <c r="I66" s="580"/>
      <c r="L66" s="556"/>
      <c r="M66" s="497"/>
    </row>
    <row r="67" spans="1:13" ht="12.75">
      <c r="A67" s="511" t="s">
        <v>477</v>
      </c>
      <c r="I67" s="580"/>
      <c r="L67" s="556"/>
      <c r="M67" s="497"/>
    </row>
    <row r="68" spans="1:13" ht="12.75">
      <c r="A68" s="511" t="s">
        <v>478</v>
      </c>
      <c r="I68" s="580"/>
      <c r="L68" s="556"/>
      <c r="M68" s="497"/>
    </row>
    <row r="69" spans="1:13" ht="12.75">
      <c r="A69" s="511" t="s">
        <v>479</v>
      </c>
      <c r="I69" s="580"/>
      <c r="L69" s="556"/>
      <c r="M69" s="497"/>
    </row>
    <row r="70" spans="1:13" ht="12.75">
      <c r="A70" s="511" t="s">
        <v>480</v>
      </c>
      <c r="I70" s="580"/>
      <c r="L70" s="556"/>
      <c r="M70" s="497"/>
    </row>
    <row r="71" spans="1:13" ht="12.75">
      <c r="A71" s="511" t="s">
        <v>481</v>
      </c>
      <c r="I71" s="580"/>
      <c r="L71" s="556"/>
      <c r="M71" s="497"/>
    </row>
    <row r="72" spans="1:13" ht="12.75">
      <c r="A72" s="511" t="s">
        <v>482</v>
      </c>
      <c r="I72" s="580"/>
      <c r="L72" s="556"/>
      <c r="M72" s="497"/>
    </row>
    <row r="73" spans="1:13" ht="12.75">
      <c r="A73" s="511" t="s">
        <v>483</v>
      </c>
      <c r="I73" s="580"/>
      <c r="L73" s="556"/>
      <c r="M73" s="497"/>
    </row>
    <row r="74" spans="1:13" ht="12.75">
      <c r="A74" s="511" t="s">
        <v>484</v>
      </c>
      <c r="I74" s="580"/>
      <c r="L74" s="556"/>
      <c r="M74" s="497"/>
    </row>
    <row r="75" spans="1:13" s="567" customFormat="1" ht="12.75">
      <c r="A75" s="505" t="s">
        <v>280</v>
      </c>
      <c r="B75" s="505" t="s">
        <v>464</v>
      </c>
      <c r="C75" s="529">
        <f>2</f>
        <v>2</v>
      </c>
      <c r="D75" s="507">
        <v>384.7</v>
      </c>
      <c r="E75" s="529">
        <f>D75/'Field recov'!S75</f>
        <v>557.536231884058</v>
      </c>
      <c r="F75" s="507"/>
      <c r="G75" s="600" t="s">
        <v>110</v>
      </c>
      <c r="H75" s="566">
        <f>C75+E75</f>
        <v>559.536231884058</v>
      </c>
      <c r="I75" s="566">
        <f aca="true" t="shared" si="10" ref="I75:I131">C75</f>
        <v>2</v>
      </c>
      <c r="J75" s="566">
        <v>0.225</v>
      </c>
      <c r="K75" s="592">
        <f aca="true" t="shared" si="11" ref="K75:K108">H75/J75</f>
        <v>2486.82769726248</v>
      </c>
      <c r="L75" s="592">
        <f>I75/$J75</f>
        <v>8.88888888888889</v>
      </c>
      <c r="M75" s="557"/>
    </row>
    <row r="76" spans="1:13" ht="12.75">
      <c r="A76" s="500" t="s">
        <v>485</v>
      </c>
      <c r="B76" s="500"/>
      <c r="C76" s="498" t="s">
        <v>110</v>
      </c>
      <c r="D76" s="503"/>
      <c r="E76" s="498" t="s">
        <v>110</v>
      </c>
      <c r="F76" s="503"/>
      <c r="G76" s="601" t="s">
        <v>110</v>
      </c>
      <c r="H76" s="580"/>
      <c r="I76" s="580">
        <f t="shared" si="10"/>
      </c>
      <c r="J76" s="589" t="s">
        <v>110</v>
      </c>
      <c r="K76" s="556"/>
      <c r="L76" s="556"/>
      <c r="M76" s="497"/>
    </row>
    <row r="77" spans="1:13" ht="12.75">
      <c r="A77" s="500" t="s">
        <v>281</v>
      </c>
      <c r="B77" s="500" t="s">
        <v>464</v>
      </c>
      <c r="C77" s="498">
        <f>2</f>
        <v>2</v>
      </c>
      <c r="D77" s="503">
        <v>385.5</v>
      </c>
      <c r="E77" s="498">
        <f>D77/'Field recov'!S77</f>
        <v>558.6956521739131</v>
      </c>
      <c r="F77" s="503"/>
      <c r="G77" s="601" t="s">
        <v>110</v>
      </c>
      <c r="H77" s="580">
        <f>C77+E77</f>
        <v>560.6956521739131</v>
      </c>
      <c r="I77" s="580">
        <f t="shared" si="10"/>
        <v>2</v>
      </c>
      <c r="J77" s="589">
        <v>0.255</v>
      </c>
      <c r="K77" s="556">
        <f t="shared" si="11"/>
        <v>2198.8064791133847</v>
      </c>
      <c r="L77" s="556">
        <f>I77/$J77</f>
        <v>7.8431372549019605</v>
      </c>
      <c r="M77" s="497"/>
    </row>
    <row r="78" spans="1:13" ht="12.75">
      <c r="A78" s="500" t="s">
        <v>486</v>
      </c>
      <c r="B78" s="500"/>
      <c r="C78" s="498" t="s">
        <v>110</v>
      </c>
      <c r="D78" s="503"/>
      <c r="E78" s="498"/>
      <c r="F78" s="503"/>
      <c r="G78" s="601" t="s">
        <v>110</v>
      </c>
      <c r="H78" s="580"/>
      <c r="I78" s="580">
        <f t="shared" si="10"/>
      </c>
      <c r="J78" s="589" t="s">
        <v>110</v>
      </c>
      <c r="K78" s="556"/>
      <c r="L78" s="556"/>
      <c r="M78" s="497"/>
    </row>
    <row r="79" spans="1:13" ht="12.75">
      <c r="A79" s="500" t="s">
        <v>282</v>
      </c>
      <c r="B79" s="500">
        <v>7.325</v>
      </c>
      <c r="C79" s="498">
        <f>B79/'Field recov'!R79</f>
        <v>9.39102564102564</v>
      </c>
      <c r="D79" s="503">
        <v>44.28</v>
      </c>
      <c r="E79" s="498">
        <f>D79/'Field recov'!S79</f>
        <v>64.17391304347827</v>
      </c>
      <c r="F79" s="503"/>
      <c r="G79" s="601" t="s">
        <v>110</v>
      </c>
      <c r="H79" s="580">
        <f>C79+E79</f>
        <v>73.5649386845039</v>
      </c>
      <c r="I79" s="580">
        <f t="shared" si="10"/>
        <v>9.39102564102564</v>
      </c>
      <c r="J79" s="589">
        <v>0.41625</v>
      </c>
      <c r="K79" s="556">
        <f t="shared" si="11"/>
        <v>176.7325854282376</v>
      </c>
      <c r="L79" s="556">
        <f>I79/$J79</f>
        <v>22.561022561022558</v>
      </c>
      <c r="M79" s="497"/>
    </row>
    <row r="80" spans="1:13" ht="12.75">
      <c r="A80" s="500" t="s">
        <v>487</v>
      </c>
      <c r="B80" s="500"/>
      <c r="C80" s="498" t="s">
        <v>110</v>
      </c>
      <c r="D80" s="503"/>
      <c r="E80" s="498"/>
      <c r="F80" s="503"/>
      <c r="G80" s="601" t="s">
        <v>110</v>
      </c>
      <c r="H80" s="580"/>
      <c r="I80" s="580">
        <f t="shared" si="10"/>
      </c>
      <c r="J80" s="589" t="s">
        <v>110</v>
      </c>
      <c r="K80" s="556"/>
      <c r="L80" s="556"/>
      <c r="M80" s="497"/>
    </row>
    <row r="81" spans="1:13" ht="12.75">
      <c r="A81" s="500" t="s">
        <v>283</v>
      </c>
      <c r="B81" s="524"/>
      <c r="C81" s="498" t="s">
        <v>110</v>
      </c>
      <c r="D81" s="500">
        <v>5.543</v>
      </c>
      <c r="E81" s="498">
        <f>D81/'Field recov'!S81</f>
        <v>8.033333333333335</v>
      </c>
      <c r="F81" s="503"/>
      <c r="G81" s="601" t="s">
        <v>110</v>
      </c>
      <c r="H81" s="582">
        <f>E81</f>
        <v>8.033333333333335</v>
      </c>
      <c r="I81" s="580">
        <f t="shared" si="10"/>
      </c>
      <c r="J81" s="589">
        <v>0.75</v>
      </c>
      <c r="K81" s="556">
        <f t="shared" si="11"/>
        <v>10.711111111111114</v>
      </c>
      <c r="L81" s="556"/>
      <c r="M81" s="497"/>
    </row>
    <row r="82" spans="1:13" ht="12.75">
      <c r="A82" s="500" t="s">
        <v>488</v>
      </c>
      <c r="B82" s="500"/>
      <c r="C82" s="498" t="s">
        <v>110</v>
      </c>
      <c r="D82" s="503"/>
      <c r="E82" s="498"/>
      <c r="F82" s="503"/>
      <c r="G82" s="601" t="s">
        <v>110</v>
      </c>
      <c r="H82" s="580"/>
      <c r="I82" s="580">
        <f t="shared" si="10"/>
      </c>
      <c r="J82" s="589" t="s">
        <v>110</v>
      </c>
      <c r="K82" s="556"/>
      <c r="L82" s="556"/>
      <c r="M82" s="497"/>
    </row>
    <row r="83" spans="1:13" ht="12.75">
      <c r="A83" s="500" t="s">
        <v>284</v>
      </c>
      <c r="B83" s="500">
        <v>4</v>
      </c>
      <c r="C83" s="498">
        <f>B83/'Field recov'!R83</f>
        <v>5.128205128205128</v>
      </c>
      <c r="D83" s="503">
        <v>105.5</v>
      </c>
      <c r="E83" s="498">
        <f>D83/'Field recov'!S83</f>
        <v>152.8985507246377</v>
      </c>
      <c r="F83" s="503"/>
      <c r="G83" s="601" t="s">
        <v>110</v>
      </c>
      <c r="H83" s="580">
        <f>C83+E83</f>
        <v>158.02675585284283</v>
      </c>
      <c r="I83" s="580">
        <f t="shared" si="10"/>
        <v>5.128205128205128</v>
      </c>
      <c r="J83" s="589">
        <v>0.495</v>
      </c>
      <c r="K83" s="556">
        <f t="shared" si="11"/>
        <v>319.2459714198845</v>
      </c>
      <c r="L83" s="556">
        <f>I83/$J83</f>
        <v>10.360010360010358</v>
      </c>
      <c r="M83" s="497"/>
    </row>
    <row r="84" spans="1:13" ht="12.75">
      <c r="A84" s="500" t="s">
        <v>489</v>
      </c>
      <c r="B84" s="500"/>
      <c r="C84" s="498"/>
      <c r="D84" s="500"/>
      <c r="E84" s="498"/>
      <c r="F84" s="503"/>
      <c r="G84" s="601" t="s">
        <v>110</v>
      </c>
      <c r="H84" s="580"/>
      <c r="I84" s="580">
        <f t="shared" si="10"/>
        <v>0</v>
      </c>
      <c r="J84" s="589" t="s">
        <v>110</v>
      </c>
      <c r="K84" s="556"/>
      <c r="L84" s="556"/>
      <c r="M84" s="497"/>
    </row>
    <row r="85" spans="1:13" ht="12.75">
      <c r="A85" s="500" t="s">
        <v>285</v>
      </c>
      <c r="B85" s="500">
        <v>6</v>
      </c>
      <c r="C85" s="498">
        <f>B85/'Field recov'!R85</f>
        <v>7.692307692307692</v>
      </c>
      <c r="D85" s="503">
        <v>5094</v>
      </c>
      <c r="E85" s="498">
        <f>D85/'Field recov'!S85</f>
        <v>7602.985074626865</v>
      </c>
      <c r="F85" s="500"/>
      <c r="G85" s="601" t="s">
        <v>110</v>
      </c>
      <c r="H85" s="580">
        <f>C85+E85</f>
        <v>7610.6773823191725</v>
      </c>
      <c r="I85" s="580">
        <f t="shared" si="10"/>
        <v>7.692307692307692</v>
      </c>
      <c r="J85" s="589">
        <v>0.34875</v>
      </c>
      <c r="K85" s="556">
        <f t="shared" si="11"/>
        <v>21822.730845359634</v>
      </c>
      <c r="L85" s="556">
        <f>I85/$J85</f>
        <v>22.056796250344636</v>
      </c>
      <c r="M85" s="497"/>
    </row>
    <row r="86" spans="1:13" ht="12.75">
      <c r="A86" s="500" t="s">
        <v>490</v>
      </c>
      <c r="B86" s="500"/>
      <c r="C86" s="498"/>
      <c r="D86" s="503"/>
      <c r="E86" s="498"/>
      <c r="F86" s="500"/>
      <c r="G86" s="601" t="s">
        <v>110</v>
      </c>
      <c r="H86" s="580"/>
      <c r="I86" s="580">
        <f t="shared" si="10"/>
        <v>0</v>
      </c>
      <c r="J86" s="589" t="s">
        <v>110</v>
      </c>
      <c r="K86" s="556"/>
      <c r="L86" s="556"/>
      <c r="M86" s="497"/>
    </row>
    <row r="87" spans="1:13" ht="12.75">
      <c r="A87" s="500" t="s">
        <v>286</v>
      </c>
      <c r="B87" s="500">
        <v>21.44</v>
      </c>
      <c r="C87" s="498">
        <f>B87/'Field recov'!R87</f>
        <v>27.48717948717949</v>
      </c>
      <c r="D87" s="503">
        <v>1862</v>
      </c>
      <c r="E87" s="498">
        <f>D87/'Field recov'!S87</f>
        <v>2698.5507246376815</v>
      </c>
      <c r="F87" s="500"/>
      <c r="G87" s="601" t="s">
        <v>110</v>
      </c>
      <c r="H87" s="580">
        <f>C87+E87</f>
        <v>2726.037904124861</v>
      </c>
      <c r="I87" s="580">
        <f t="shared" si="10"/>
        <v>27.48717948717949</v>
      </c>
      <c r="J87" s="589">
        <v>0.48375</v>
      </c>
      <c r="K87" s="556">
        <f t="shared" si="11"/>
        <v>5635.220473643124</v>
      </c>
      <c r="L87" s="556">
        <f>I87/$J87</f>
        <v>56.821042867554496</v>
      </c>
      <c r="M87" s="497"/>
    </row>
    <row r="88" spans="1:13" ht="12.75">
      <c r="A88" s="500" t="s">
        <v>491</v>
      </c>
      <c r="B88" s="500"/>
      <c r="C88" s="498"/>
      <c r="D88" s="503"/>
      <c r="E88" s="498"/>
      <c r="F88" s="500"/>
      <c r="G88" s="601" t="s">
        <v>110</v>
      </c>
      <c r="H88" s="580"/>
      <c r="I88" s="580">
        <f t="shared" si="10"/>
        <v>0</v>
      </c>
      <c r="J88" s="589" t="s">
        <v>110</v>
      </c>
      <c r="K88" s="556"/>
      <c r="L88" s="556"/>
      <c r="M88" s="497"/>
    </row>
    <row r="89" spans="1:13" ht="12.75">
      <c r="A89" s="500" t="s">
        <v>287</v>
      </c>
      <c r="B89" s="500" t="s">
        <v>464</v>
      </c>
      <c r="C89" s="498">
        <f>2</f>
        <v>2</v>
      </c>
      <c r="D89" s="503">
        <v>1190</v>
      </c>
      <c r="E89" s="498">
        <f>D89/'Field recov'!S89</f>
        <v>1724.6376811594205</v>
      </c>
      <c r="F89" s="500"/>
      <c r="G89" s="601" t="s">
        <v>110</v>
      </c>
      <c r="H89" s="580">
        <f>C89+E89</f>
        <v>1726.6376811594205</v>
      </c>
      <c r="I89" s="580">
        <f t="shared" si="10"/>
        <v>2</v>
      </c>
      <c r="J89" s="589">
        <v>0.42375</v>
      </c>
      <c r="K89" s="556">
        <f t="shared" si="11"/>
        <v>4074.661194476508</v>
      </c>
      <c r="L89" s="556">
        <f>I89/$J89</f>
        <v>4.71976401179941</v>
      </c>
      <c r="M89" s="497"/>
    </row>
    <row r="90" spans="1:13" ht="12.75">
      <c r="A90" s="500" t="s">
        <v>492</v>
      </c>
      <c r="B90" s="500"/>
      <c r="C90" s="498"/>
      <c r="D90" s="503"/>
      <c r="E90" s="498"/>
      <c r="F90" s="500"/>
      <c r="G90" s="601" t="s">
        <v>110</v>
      </c>
      <c r="H90" s="580"/>
      <c r="I90" s="580">
        <f t="shared" si="10"/>
        <v>0</v>
      </c>
      <c r="J90" s="589" t="s">
        <v>110</v>
      </c>
      <c r="K90" s="556"/>
      <c r="L90" s="556"/>
      <c r="M90" s="497"/>
    </row>
    <row r="91" spans="1:13" ht="12.75">
      <c r="A91" s="500" t="s">
        <v>288</v>
      </c>
      <c r="B91" s="500" t="s">
        <v>464</v>
      </c>
      <c r="C91" s="498">
        <f>2</f>
        <v>2</v>
      </c>
      <c r="D91" s="503">
        <v>116.7</v>
      </c>
      <c r="E91" s="498">
        <f>D91/'Field recov'!S91</f>
        <v>169.13043478260872</v>
      </c>
      <c r="F91" s="500"/>
      <c r="G91" s="601" t="s">
        <v>110</v>
      </c>
      <c r="H91" s="580">
        <f>C91+E91</f>
        <v>171.13043478260872</v>
      </c>
      <c r="I91" s="580">
        <f t="shared" si="10"/>
        <v>2</v>
      </c>
      <c r="J91" s="589">
        <v>0.6</v>
      </c>
      <c r="K91" s="556">
        <f t="shared" si="11"/>
        <v>285.21739130434787</v>
      </c>
      <c r="L91" s="556">
        <f>I91/$J91</f>
        <v>3.3333333333333335</v>
      </c>
      <c r="M91" s="497"/>
    </row>
    <row r="92" spans="1:13" ht="12.75">
      <c r="A92" s="500" t="s">
        <v>493</v>
      </c>
      <c r="B92" s="500"/>
      <c r="C92" s="498"/>
      <c r="D92" s="503"/>
      <c r="E92" s="498"/>
      <c r="F92" s="500"/>
      <c r="G92" s="601" t="s">
        <v>110</v>
      </c>
      <c r="H92" s="580"/>
      <c r="I92" s="580">
        <f t="shared" si="10"/>
        <v>0</v>
      </c>
      <c r="J92" s="589" t="s">
        <v>110</v>
      </c>
      <c r="K92" s="556"/>
      <c r="L92" s="556"/>
      <c r="M92" s="497"/>
    </row>
    <row r="93" spans="1:13" ht="12.75">
      <c r="A93" s="500" t="s">
        <v>289</v>
      </c>
      <c r="B93" s="500" t="s">
        <v>464</v>
      </c>
      <c r="C93" s="498">
        <f>2</f>
        <v>2</v>
      </c>
      <c r="D93" s="503">
        <v>372</v>
      </c>
      <c r="E93" s="498">
        <f>D93/'Field recov'!S93</f>
        <v>539.1304347826087</v>
      </c>
      <c r="F93" s="500"/>
      <c r="G93" s="601" t="s">
        <v>110</v>
      </c>
      <c r="H93" s="580">
        <f>C93+E93</f>
        <v>541.1304347826087</v>
      </c>
      <c r="I93" s="580">
        <f t="shared" si="10"/>
        <v>2</v>
      </c>
      <c r="J93" s="589">
        <v>0.6525</v>
      </c>
      <c r="K93" s="556">
        <f t="shared" si="11"/>
        <v>829.3186739963353</v>
      </c>
      <c r="L93" s="556">
        <f>I93/$J93</f>
        <v>3.0651340996168583</v>
      </c>
      <c r="M93" s="497"/>
    </row>
    <row r="94" spans="1:13" ht="12.75">
      <c r="A94" s="500" t="s">
        <v>494</v>
      </c>
      <c r="B94" s="500"/>
      <c r="C94" s="498"/>
      <c r="D94" s="503"/>
      <c r="E94" s="498"/>
      <c r="F94" s="500"/>
      <c r="G94" s="601" t="s">
        <v>110</v>
      </c>
      <c r="H94" s="580"/>
      <c r="I94" s="580">
        <f t="shared" si="10"/>
        <v>0</v>
      </c>
      <c r="J94" s="589" t="s">
        <v>110</v>
      </c>
      <c r="K94" s="556"/>
      <c r="L94" s="556"/>
      <c r="M94" s="497"/>
    </row>
    <row r="95" spans="1:13" ht="12.75">
      <c r="A95" s="500" t="s">
        <v>290</v>
      </c>
      <c r="B95" s="500">
        <v>4</v>
      </c>
      <c r="C95" s="498">
        <f>B95/'Field recov'!R95</f>
        <v>5.128205128205128</v>
      </c>
      <c r="D95" s="503">
        <v>106.3</v>
      </c>
      <c r="E95" s="498">
        <f>D95/'Field recov'!S95</f>
        <v>154.05797101449275</v>
      </c>
      <c r="F95" s="500"/>
      <c r="G95" s="601" t="s">
        <v>110</v>
      </c>
      <c r="H95" s="580">
        <f>C95+E95</f>
        <v>159.1861761426979</v>
      </c>
      <c r="I95" s="580">
        <f t="shared" si="10"/>
        <v>5.128205128205128</v>
      </c>
      <c r="J95" s="589">
        <v>0.39</v>
      </c>
      <c r="K95" s="556">
        <f t="shared" si="11"/>
        <v>408.16968241717404</v>
      </c>
      <c r="L95" s="556">
        <f>I95/$J95</f>
        <v>13.149243918474687</v>
      </c>
      <c r="M95" s="497"/>
    </row>
    <row r="96" spans="1:13" ht="12.75">
      <c r="A96" s="500" t="s">
        <v>495</v>
      </c>
      <c r="B96" s="500"/>
      <c r="C96" s="498"/>
      <c r="D96" s="500"/>
      <c r="E96" s="498"/>
      <c r="F96" s="500"/>
      <c r="G96" s="601" t="s">
        <v>110</v>
      </c>
      <c r="H96" s="580"/>
      <c r="I96" s="580">
        <f t="shared" si="10"/>
        <v>0</v>
      </c>
      <c r="J96" s="589" t="s">
        <v>110</v>
      </c>
      <c r="K96" s="556"/>
      <c r="L96" s="556"/>
      <c r="M96" s="497"/>
    </row>
    <row r="97" spans="1:13" ht="12.75">
      <c r="A97" s="500" t="s">
        <v>291</v>
      </c>
      <c r="B97" s="503">
        <v>8</v>
      </c>
      <c r="C97" s="498">
        <f>B97/'Field recov'!R97</f>
        <v>10.256410256410255</v>
      </c>
      <c r="D97" s="503">
        <v>366.2</v>
      </c>
      <c r="E97" s="498">
        <f>D97/'Field recov'!S97</f>
        <v>530.7246376811595</v>
      </c>
      <c r="F97" s="500"/>
      <c r="G97" s="601" t="s">
        <v>110</v>
      </c>
      <c r="H97" s="580">
        <f>C97+E97</f>
        <v>540.9810479375698</v>
      </c>
      <c r="I97" s="580">
        <f t="shared" si="10"/>
        <v>10.256410256410255</v>
      </c>
      <c r="J97" s="589">
        <v>0.42</v>
      </c>
      <c r="K97" s="556">
        <f t="shared" si="11"/>
        <v>1288.050114137071</v>
      </c>
      <c r="L97" s="556">
        <f>I97/$J97</f>
        <v>24.42002442002442</v>
      </c>
      <c r="M97" s="497"/>
    </row>
    <row r="98" spans="1:13" ht="12.75">
      <c r="A98" s="500" t="s">
        <v>496</v>
      </c>
      <c r="B98" s="503"/>
      <c r="C98" s="498" t="s">
        <v>110</v>
      </c>
      <c r="D98" s="500"/>
      <c r="E98" s="498" t="s">
        <v>110</v>
      </c>
      <c r="F98" s="500"/>
      <c r="G98" s="601" t="s">
        <v>110</v>
      </c>
      <c r="H98" s="580"/>
      <c r="I98" s="580">
        <f t="shared" si="10"/>
      </c>
      <c r="J98" s="552"/>
      <c r="K98" s="556"/>
      <c r="L98" s="556"/>
      <c r="M98" s="497"/>
    </row>
    <row r="99" spans="1:14" s="567" customFormat="1" ht="12.75">
      <c r="A99" s="505" t="s">
        <v>270</v>
      </c>
      <c r="B99" s="505">
        <v>11210</v>
      </c>
      <c r="C99" s="529">
        <f>B99/'Field recov'!R99</f>
        <v>12053.763440860215</v>
      </c>
      <c r="D99" s="507">
        <v>134500</v>
      </c>
      <c r="E99" s="529">
        <f>D99/'Field recov'!S99</f>
        <v>134500</v>
      </c>
      <c r="F99" s="507">
        <v>90.29</v>
      </c>
      <c r="G99" s="600">
        <f>(F99*14)/('Field recov'!U99*1.95)</f>
        <v>781.0071053444549</v>
      </c>
      <c r="H99" s="566">
        <f aca="true" t="shared" si="12" ref="H99:H108">C99+E99</f>
        <v>146553.7634408602</v>
      </c>
      <c r="I99" s="566">
        <f t="shared" si="10"/>
        <v>12053.763440860215</v>
      </c>
      <c r="J99" s="585">
        <v>5.1</v>
      </c>
      <c r="K99" s="592">
        <f t="shared" si="11"/>
        <v>28736.032047227494</v>
      </c>
      <c r="L99" s="592">
        <f aca="true" t="shared" si="13" ref="L99:L108">I99/$J99</f>
        <v>2363.4830276196503</v>
      </c>
      <c r="M99" s="557">
        <f aca="true" t="shared" si="14" ref="M99:M108">G99/J99</f>
        <v>153.13864810675588</v>
      </c>
      <c r="N99" s="614">
        <v>1.95</v>
      </c>
    </row>
    <row r="100" spans="1:14" ht="12.75">
      <c r="A100" s="500" t="s">
        <v>271</v>
      </c>
      <c r="B100" s="500">
        <v>8082</v>
      </c>
      <c r="C100" s="498">
        <f>B100/'Field recov'!R100</f>
        <v>8690.322580645161</v>
      </c>
      <c r="D100" s="503">
        <v>171500</v>
      </c>
      <c r="E100" s="498">
        <f>D100/'Field recov'!S100</f>
        <v>171500</v>
      </c>
      <c r="F100" s="503">
        <v>775.6</v>
      </c>
      <c r="G100" s="601">
        <f>(F100*14)/('Field recov'!U100*1.9)</f>
        <v>6885.478757133798</v>
      </c>
      <c r="H100" s="580">
        <f t="shared" si="12"/>
        <v>180190.32258064515</v>
      </c>
      <c r="I100" s="580">
        <f t="shared" si="10"/>
        <v>8690.322580645161</v>
      </c>
      <c r="J100" s="586">
        <v>7.65</v>
      </c>
      <c r="K100" s="556">
        <f t="shared" si="11"/>
        <v>23554.290533417665</v>
      </c>
      <c r="L100" s="556">
        <f t="shared" si="13"/>
        <v>1135.989879822897</v>
      </c>
      <c r="M100" s="497">
        <f t="shared" si="14"/>
        <v>900.0625826318691</v>
      </c>
      <c r="N100" s="612">
        <v>1.9</v>
      </c>
    </row>
    <row r="101" spans="1:14" ht="12.75">
      <c r="A101" s="500" t="s">
        <v>272</v>
      </c>
      <c r="B101" s="500">
        <v>289.6</v>
      </c>
      <c r="C101" s="498">
        <f>B101/'Field recov'!R101</f>
        <v>311.3978494623656</v>
      </c>
      <c r="D101" s="503">
        <v>48450</v>
      </c>
      <c r="E101" s="498">
        <f>D101/'Field recov'!S101</f>
        <v>48450</v>
      </c>
      <c r="F101" s="503">
        <v>149.6</v>
      </c>
      <c r="G101" s="601">
        <f>(F101*14)/('Field recov'!U101*1.85)</f>
        <v>1363.9856724194074</v>
      </c>
      <c r="H101" s="580">
        <f t="shared" si="12"/>
        <v>48761.397849462366</v>
      </c>
      <c r="I101" s="580">
        <f t="shared" si="10"/>
        <v>311.3978494623656</v>
      </c>
      <c r="J101" s="586">
        <v>3.4</v>
      </c>
      <c r="K101" s="556">
        <f t="shared" si="11"/>
        <v>14341.587602783049</v>
      </c>
      <c r="L101" s="556">
        <f t="shared" si="13"/>
        <v>91.58760278304872</v>
      </c>
      <c r="M101" s="497">
        <f t="shared" si="14"/>
        <v>401.17225659394336</v>
      </c>
      <c r="N101" s="612">
        <v>1.85</v>
      </c>
    </row>
    <row r="102" spans="1:14" ht="12.75">
      <c r="A102" s="500" t="s">
        <v>273</v>
      </c>
      <c r="B102" s="500">
        <v>11310</v>
      </c>
      <c r="C102" s="498">
        <f>B102/'Field recov'!R102</f>
        <v>12161.290322580644</v>
      </c>
      <c r="D102" s="503">
        <v>117700</v>
      </c>
      <c r="E102" s="498">
        <f>D102/'Field recov'!S102</f>
        <v>117700</v>
      </c>
      <c r="F102" s="503">
        <v>202.9</v>
      </c>
      <c r="G102" s="601">
        <f>(F102*14)/('Field recov'!U102*1.85)</f>
        <v>1849.9511559752523</v>
      </c>
      <c r="H102" s="580">
        <f t="shared" si="12"/>
        <v>129861.29032258064</v>
      </c>
      <c r="I102" s="580">
        <f t="shared" si="10"/>
        <v>12161.290322580644</v>
      </c>
      <c r="J102" s="586">
        <v>5.61</v>
      </c>
      <c r="K102" s="556">
        <f t="shared" si="11"/>
        <v>23148.180093151626</v>
      </c>
      <c r="L102" s="556">
        <f t="shared" si="13"/>
        <v>2167.787936288885</v>
      </c>
      <c r="M102" s="497">
        <f t="shared" si="14"/>
        <v>329.75956434496476</v>
      </c>
      <c r="N102" s="612">
        <v>1.85</v>
      </c>
    </row>
    <row r="103" spans="1:14" ht="12.75">
      <c r="A103" s="500" t="s">
        <v>274</v>
      </c>
      <c r="B103" s="500">
        <v>9265</v>
      </c>
      <c r="C103" s="498">
        <f>B103/'Field recov'!R103</f>
        <v>9962.36559139785</v>
      </c>
      <c r="D103" s="503">
        <v>86650</v>
      </c>
      <c r="E103" s="498">
        <f>D103/'Field recov'!S103</f>
        <v>86650</v>
      </c>
      <c r="F103" s="503">
        <v>178.3</v>
      </c>
      <c r="G103" s="601">
        <f>(F103*14)/('Field recov'!U103*2)</f>
        <v>1503.7349397590365</v>
      </c>
      <c r="H103" s="580">
        <f t="shared" si="12"/>
        <v>96612.36559139784</v>
      </c>
      <c r="I103" s="580">
        <f t="shared" si="10"/>
        <v>9962.36559139785</v>
      </c>
      <c r="J103" s="586">
        <v>6.97</v>
      </c>
      <c r="K103" s="556">
        <f t="shared" si="11"/>
        <v>13861.171533916477</v>
      </c>
      <c r="L103" s="556">
        <f t="shared" si="13"/>
        <v>1429.3207448203514</v>
      </c>
      <c r="M103" s="497">
        <f t="shared" si="14"/>
        <v>215.7438937961315</v>
      </c>
      <c r="N103" s="612">
        <v>2</v>
      </c>
    </row>
    <row r="104" spans="1:14" ht="12.75">
      <c r="A104" s="500" t="s">
        <v>275</v>
      </c>
      <c r="B104" s="500">
        <v>115.3</v>
      </c>
      <c r="C104" s="498">
        <f>B104/'Field recov'!R104</f>
        <v>123.9784946236559</v>
      </c>
      <c r="D104" s="503">
        <v>48700</v>
      </c>
      <c r="E104" s="498">
        <f>D104/'Field recov'!S104</f>
        <v>48700</v>
      </c>
      <c r="F104" s="503">
        <v>92.04</v>
      </c>
      <c r="G104" s="601">
        <f>(F104*14)/('Field recov'!U104*2)</f>
        <v>776.2409638554218</v>
      </c>
      <c r="H104" s="580">
        <f t="shared" si="12"/>
        <v>48823.978494623654</v>
      </c>
      <c r="I104" s="580">
        <f t="shared" si="10"/>
        <v>123.9784946236559</v>
      </c>
      <c r="J104" s="586">
        <v>6.8</v>
      </c>
      <c r="K104" s="556">
        <f t="shared" si="11"/>
        <v>7179.996837444655</v>
      </c>
      <c r="L104" s="556">
        <f t="shared" si="13"/>
        <v>18.23213156230234</v>
      </c>
      <c r="M104" s="497">
        <f t="shared" si="14"/>
        <v>114.15308291991498</v>
      </c>
      <c r="N104" s="612">
        <v>2</v>
      </c>
    </row>
    <row r="105" spans="1:14" ht="12.75">
      <c r="A105" s="500" t="s">
        <v>276</v>
      </c>
      <c r="B105" s="500">
        <v>104.7</v>
      </c>
      <c r="C105" s="498">
        <f>B105/'Field recov'!R105</f>
        <v>112.58064516129032</v>
      </c>
      <c r="D105" s="500">
        <v>5740</v>
      </c>
      <c r="E105" s="498">
        <f>D105/'Field recov'!S105</f>
        <v>5740</v>
      </c>
      <c r="F105" s="503">
        <v>169.5</v>
      </c>
      <c r="G105" s="601">
        <f>(F105*14)/('Field recov'!U105*2)</f>
        <v>1429.5180722891566</v>
      </c>
      <c r="H105" s="580">
        <f t="shared" si="12"/>
        <v>5852.580645161291</v>
      </c>
      <c r="I105" s="580">
        <f t="shared" si="10"/>
        <v>112.58064516129032</v>
      </c>
      <c r="J105" s="586">
        <v>6.8</v>
      </c>
      <c r="K105" s="556">
        <f t="shared" si="11"/>
        <v>860.6736242884251</v>
      </c>
      <c r="L105" s="556">
        <f t="shared" si="13"/>
        <v>16.555977229601517</v>
      </c>
      <c r="M105" s="497">
        <f t="shared" si="14"/>
        <v>210.22324592487598</v>
      </c>
      <c r="N105" s="612">
        <v>2</v>
      </c>
    </row>
    <row r="106" spans="1:14" ht="12.75">
      <c r="A106" s="500" t="s">
        <v>277</v>
      </c>
      <c r="B106" s="500">
        <v>2225</v>
      </c>
      <c r="C106" s="498">
        <f>B106/'Field recov'!R106</f>
        <v>2392.47311827957</v>
      </c>
      <c r="D106" s="503">
        <v>90580</v>
      </c>
      <c r="E106" s="498">
        <f>D106/'Field recov'!S106</f>
        <v>90580</v>
      </c>
      <c r="F106" s="503">
        <v>478.4</v>
      </c>
      <c r="G106" s="601">
        <f>(F106*14)/('Field recov'!U106*2.05)</f>
        <v>3936.2915074933885</v>
      </c>
      <c r="H106" s="580">
        <f t="shared" si="12"/>
        <v>92972.47311827957</v>
      </c>
      <c r="I106" s="580">
        <f t="shared" si="10"/>
        <v>2392.47311827957</v>
      </c>
      <c r="J106" s="586">
        <v>8.5</v>
      </c>
      <c r="K106" s="556">
        <f t="shared" si="11"/>
        <v>10937.938013915244</v>
      </c>
      <c r="L106" s="556">
        <f t="shared" si="13"/>
        <v>281.46742567994943</v>
      </c>
      <c r="M106" s="497">
        <f t="shared" si="14"/>
        <v>463.09311852863397</v>
      </c>
      <c r="N106" s="612">
        <v>2.05</v>
      </c>
    </row>
    <row r="107" spans="1:14" ht="12.75">
      <c r="A107" s="500" t="s">
        <v>278</v>
      </c>
      <c r="B107" s="500">
        <v>1292</v>
      </c>
      <c r="C107" s="498">
        <f>B107/'Field recov'!R107</f>
        <v>1389.247311827957</v>
      </c>
      <c r="D107" s="503">
        <v>80240</v>
      </c>
      <c r="E107" s="498">
        <f>D107/'Field recov'!S107</f>
        <v>80240</v>
      </c>
      <c r="F107" s="503">
        <v>338.7</v>
      </c>
      <c r="G107" s="601">
        <f>(F107*14)/('Field recov'!U107*2)</f>
        <v>2856.5060240963858</v>
      </c>
      <c r="H107" s="580">
        <f t="shared" si="12"/>
        <v>81629.24731182796</v>
      </c>
      <c r="I107" s="580">
        <f t="shared" si="10"/>
        <v>1389.247311827957</v>
      </c>
      <c r="J107" s="586">
        <v>9.35</v>
      </c>
      <c r="K107" s="556">
        <f t="shared" si="11"/>
        <v>8730.400782013687</v>
      </c>
      <c r="L107" s="556">
        <f t="shared" si="13"/>
        <v>148.58260019550343</v>
      </c>
      <c r="M107" s="497">
        <f t="shared" si="14"/>
        <v>305.50866567875784</v>
      </c>
      <c r="N107" s="612">
        <v>2</v>
      </c>
    </row>
    <row r="108" spans="1:14" ht="12.75">
      <c r="A108" s="500" t="s">
        <v>279</v>
      </c>
      <c r="B108" s="500">
        <v>969.6</v>
      </c>
      <c r="C108" s="498">
        <f>B108/'Field recov'!R108</f>
        <v>1042.5806451612902</v>
      </c>
      <c r="D108" s="500">
        <v>63680</v>
      </c>
      <c r="E108" s="498">
        <f>D108/'Field recov'!S108</f>
        <v>63680</v>
      </c>
      <c r="F108" s="503">
        <v>468.1</v>
      </c>
      <c r="G108" s="601">
        <f>(F108*14)/('Field recov'!U108*1.9)</f>
        <v>4155.611921369689</v>
      </c>
      <c r="H108" s="580">
        <f t="shared" si="12"/>
        <v>64722.58064516129</v>
      </c>
      <c r="I108" s="580">
        <f t="shared" si="10"/>
        <v>1042.5806451612902</v>
      </c>
      <c r="J108" s="586">
        <v>7.65</v>
      </c>
      <c r="K108" s="556">
        <f t="shared" si="11"/>
        <v>8460.468058191018</v>
      </c>
      <c r="L108" s="556">
        <f t="shared" si="13"/>
        <v>136.28505165507062</v>
      </c>
      <c r="M108" s="497">
        <f t="shared" si="14"/>
        <v>543.2172446234888</v>
      </c>
      <c r="N108" s="612">
        <v>1.9</v>
      </c>
    </row>
    <row r="109" spans="1:13" ht="12.75">
      <c r="A109" s="500" t="s">
        <v>497</v>
      </c>
      <c r="B109" s="500"/>
      <c r="C109" s="498" t="s">
        <v>110</v>
      </c>
      <c r="D109" s="503"/>
      <c r="E109" s="498" t="s">
        <v>110</v>
      </c>
      <c r="F109" s="500"/>
      <c r="G109" s="601" t="s">
        <v>110</v>
      </c>
      <c r="H109" s="580"/>
      <c r="I109" s="580">
        <f t="shared" si="10"/>
      </c>
      <c r="J109" s="552"/>
      <c r="K109" s="556"/>
      <c r="L109" s="556"/>
      <c r="M109" s="497"/>
    </row>
    <row r="110" spans="1:13" ht="12.75">
      <c r="A110" s="500" t="s">
        <v>498</v>
      </c>
      <c r="B110" s="500"/>
      <c r="C110" s="498" t="s">
        <v>110</v>
      </c>
      <c r="D110" s="503"/>
      <c r="E110" s="498" t="s">
        <v>110</v>
      </c>
      <c r="F110" s="500"/>
      <c r="G110" s="601" t="s">
        <v>110</v>
      </c>
      <c r="H110" s="580"/>
      <c r="I110" s="580">
        <f t="shared" si="10"/>
      </c>
      <c r="J110" s="552"/>
      <c r="K110" s="556"/>
      <c r="L110" s="556"/>
      <c r="M110" s="497"/>
    </row>
    <row r="111" spans="1:13" ht="12.75">
      <c r="A111" s="500" t="s">
        <v>499</v>
      </c>
      <c r="B111" s="500"/>
      <c r="C111" s="498" t="s">
        <v>110</v>
      </c>
      <c r="D111" s="503"/>
      <c r="E111" s="498" t="s">
        <v>110</v>
      </c>
      <c r="F111" s="500"/>
      <c r="G111" s="601" t="s">
        <v>110</v>
      </c>
      <c r="H111" s="580"/>
      <c r="I111" s="580">
        <f t="shared" si="10"/>
      </c>
      <c r="J111" s="552"/>
      <c r="K111" s="556"/>
      <c r="L111" s="556"/>
      <c r="M111" s="497"/>
    </row>
    <row r="112" spans="1:13" ht="12.75">
      <c r="A112" s="500" t="s">
        <v>500</v>
      </c>
      <c r="B112" s="500"/>
      <c r="C112" s="498" t="s">
        <v>110</v>
      </c>
      <c r="D112" s="503"/>
      <c r="E112" s="498" t="s">
        <v>110</v>
      </c>
      <c r="F112" s="500"/>
      <c r="G112" s="601" t="s">
        <v>110</v>
      </c>
      <c r="H112" s="580"/>
      <c r="I112" s="580">
        <f t="shared" si="10"/>
      </c>
      <c r="J112" s="552"/>
      <c r="K112" s="556"/>
      <c r="L112" s="556"/>
      <c r="M112" s="497"/>
    </row>
    <row r="113" spans="1:13" ht="12.75">
      <c r="A113" s="500" t="s">
        <v>501</v>
      </c>
      <c r="B113" s="500"/>
      <c r="C113" s="498" t="s">
        <v>110</v>
      </c>
      <c r="D113" s="503"/>
      <c r="E113" s="498" t="s">
        <v>110</v>
      </c>
      <c r="F113" s="500"/>
      <c r="G113" s="601" t="s">
        <v>110</v>
      </c>
      <c r="H113" s="580"/>
      <c r="I113" s="580">
        <f t="shared" si="10"/>
      </c>
      <c r="J113" s="552"/>
      <c r="K113" s="556"/>
      <c r="L113" s="556"/>
      <c r="M113" s="497"/>
    </row>
    <row r="114" spans="1:13" ht="12.75">
      <c r="A114" s="500" t="s">
        <v>502</v>
      </c>
      <c r="B114" s="500"/>
      <c r="C114" s="498" t="s">
        <v>110</v>
      </c>
      <c r="D114" s="503"/>
      <c r="E114" s="498" t="s">
        <v>110</v>
      </c>
      <c r="F114" s="500"/>
      <c r="G114" s="601" t="s">
        <v>110</v>
      </c>
      <c r="H114" s="580"/>
      <c r="I114" s="580">
        <f t="shared" si="10"/>
      </c>
      <c r="J114" s="552"/>
      <c r="K114" s="556"/>
      <c r="L114" s="556"/>
      <c r="M114" s="497"/>
    </row>
    <row r="115" spans="1:13" ht="12.75">
      <c r="A115" s="500" t="s">
        <v>503</v>
      </c>
      <c r="B115" s="500"/>
      <c r="C115" s="498" t="s">
        <v>110</v>
      </c>
      <c r="D115" s="503"/>
      <c r="E115" s="498" t="s">
        <v>110</v>
      </c>
      <c r="F115" s="500"/>
      <c r="G115" s="601" t="s">
        <v>110</v>
      </c>
      <c r="H115" s="580"/>
      <c r="I115" s="580">
        <f t="shared" si="10"/>
      </c>
      <c r="J115" s="552"/>
      <c r="K115" s="556"/>
      <c r="L115" s="556"/>
      <c r="M115" s="497"/>
    </row>
    <row r="116" spans="1:13" ht="12.75">
      <c r="A116" s="500" t="s">
        <v>504</v>
      </c>
      <c r="B116" s="500"/>
      <c r="C116" s="498" t="s">
        <v>110</v>
      </c>
      <c r="D116" s="503"/>
      <c r="E116" s="498" t="s">
        <v>110</v>
      </c>
      <c r="F116" s="500"/>
      <c r="G116" s="601" t="s">
        <v>110</v>
      </c>
      <c r="H116" s="580"/>
      <c r="I116" s="580">
        <f t="shared" si="10"/>
      </c>
      <c r="J116" s="552"/>
      <c r="K116" s="556"/>
      <c r="L116" s="556"/>
      <c r="M116" s="497"/>
    </row>
    <row r="117" spans="1:13" ht="12.75">
      <c r="A117" s="500" t="s">
        <v>505</v>
      </c>
      <c r="B117" s="500"/>
      <c r="C117" s="498" t="s">
        <v>110</v>
      </c>
      <c r="D117" s="503"/>
      <c r="E117" s="498" t="s">
        <v>110</v>
      </c>
      <c r="F117" s="500"/>
      <c r="G117" s="601" t="s">
        <v>110</v>
      </c>
      <c r="H117" s="580"/>
      <c r="I117" s="580">
        <f t="shared" si="10"/>
      </c>
      <c r="J117" s="552"/>
      <c r="K117" s="556"/>
      <c r="L117" s="556"/>
      <c r="M117" s="497"/>
    </row>
    <row r="118" spans="1:13" ht="12.75">
      <c r="A118" s="500" t="s">
        <v>506</v>
      </c>
      <c r="B118" s="500"/>
      <c r="C118" s="498" t="s">
        <v>110</v>
      </c>
      <c r="D118" s="503"/>
      <c r="E118" s="498" t="s">
        <v>110</v>
      </c>
      <c r="F118" s="500"/>
      <c r="G118" s="601" t="s">
        <v>110</v>
      </c>
      <c r="H118" s="580"/>
      <c r="I118" s="580">
        <f t="shared" si="10"/>
      </c>
      <c r="J118" s="552"/>
      <c r="K118" s="556"/>
      <c r="L118" s="556"/>
      <c r="M118" s="497"/>
    </row>
    <row r="119" spans="1:13" ht="12.75">
      <c r="A119" s="500" t="s">
        <v>507</v>
      </c>
      <c r="B119" s="500"/>
      <c r="C119" s="498" t="s">
        <v>110</v>
      </c>
      <c r="D119" s="503"/>
      <c r="E119" s="498" t="s">
        <v>110</v>
      </c>
      <c r="F119" s="500"/>
      <c r="G119" s="601" t="s">
        <v>110</v>
      </c>
      <c r="H119" s="580"/>
      <c r="I119" s="580">
        <f t="shared" si="10"/>
      </c>
      <c r="J119" s="552"/>
      <c r="K119" s="556"/>
      <c r="L119" s="556"/>
      <c r="M119" s="497"/>
    </row>
    <row r="120" spans="1:13" ht="12.75">
      <c r="A120" s="500" t="s">
        <v>508</v>
      </c>
      <c r="B120" s="500"/>
      <c r="C120" s="498" t="s">
        <v>110</v>
      </c>
      <c r="D120" s="500"/>
      <c r="E120" s="498" t="s">
        <v>110</v>
      </c>
      <c r="F120" s="500"/>
      <c r="G120" s="601" t="s">
        <v>110</v>
      </c>
      <c r="H120" s="580"/>
      <c r="I120" s="580">
        <f t="shared" si="10"/>
      </c>
      <c r="J120" s="552"/>
      <c r="K120" s="556"/>
      <c r="L120" s="556"/>
      <c r="M120" s="497"/>
    </row>
    <row r="121" spans="1:13" ht="12.75">
      <c r="A121" s="500" t="s">
        <v>509</v>
      </c>
      <c r="B121" s="503"/>
      <c r="C121" s="498" t="s">
        <v>110</v>
      </c>
      <c r="D121" s="503"/>
      <c r="E121" s="498" t="s">
        <v>110</v>
      </c>
      <c r="F121" s="500"/>
      <c r="G121" s="601" t="s">
        <v>110</v>
      </c>
      <c r="H121" s="580"/>
      <c r="I121" s="580">
        <f t="shared" si="10"/>
      </c>
      <c r="J121" s="552"/>
      <c r="K121" s="556"/>
      <c r="L121" s="556"/>
      <c r="M121" s="497"/>
    </row>
    <row r="122" spans="1:13" ht="12.75">
      <c r="A122" s="500" t="s">
        <v>510</v>
      </c>
      <c r="B122" s="503"/>
      <c r="C122" s="498" t="s">
        <v>110</v>
      </c>
      <c r="D122" s="500"/>
      <c r="E122" s="498" t="s">
        <v>110</v>
      </c>
      <c r="F122" s="500"/>
      <c r="G122" s="601" t="s">
        <v>110</v>
      </c>
      <c r="H122" s="580"/>
      <c r="I122" s="580">
        <f t="shared" si="10"/>
      </c>
      <c r="J122" s="552"/>
      <c r="K122" s="556"/>
      <c r="L122" s="556"/>
      <c r="M122" s="497"/>
    </row>
    <row r="123" spans="1:13" ht="12.75">
      <c r="A123" s="500" t="s">
        <v>511</v>
      </c>
      <c r="B123" s="503"/>
      <c r="C123" s="498" t="s">
        <v>110</v>
      </c>
      <c r="D123" s="500"/>
      <c r="E123" s="498" t="s">
        <v>110</v>
      </c>
      <c r="F123" s="500"/>
      <c r="G123" s="601" t="s">
        <v>110</v>
      </c>
      <c r="H123" s="580"/>
      <c r="I123" s="580">
        <f t="shared" si="10"/>
      </c>
      <c r="J123" s="552"/>
      <c r="K123" s="556"/>
      <c r="L123" s="556"/>
      <c r="M123" s="497"/>
    </row>
    <row r="124" spans="1:13" ht="12.75">
      <c r="A124" s="500" t="s">
        <v>512</v>
      </c>
      <c r="B124" s="503"/>
      <c r="C124" s="498" t="s">
        <v>110</v>
      </c>
      <c r="D124" s="500"/>
      <c r="E124" s="498" t="s">
        <v>110</v>
      </c>
      <c r="F124" s="500"/>
      <c r="G124" s="601" t="s">
        <v>110</v>
      </c>
      <c r="H124" s="580"/>
      <c r="I124" s="580">
        <f t="shared" si="10"/>
      </c>
      <c r="J124" s="552"/>
      <c r="K124" s="556"/>
      <c r="L124" s="556"/>
      <c r="M124" s="497"/>
    </row>
    <row r="125" spans="1:13" ht="12.75">
      <c r="A125" s="500" t="s">
        <v>513</v>
      </c>
      <c r="B125" s="503"/>
      <c r="C125" s="498" t="s">
        <v>110</v>
      </c>
      <c r="D125" s="500"/>
      <c r="E125" s="498" t="s">
        <v>110</v>
      </c>
      <c r="F125" s="500"/>
      <c r="G125" s="601" t="s">
        <v>110</v>
      </c>
      <c r="H125" s="580"/>
      <c r="I125" s="580">
        <f t="shared" si="10"/>
      </c>
      <c r="J125" s="552"/>
      <c r="K125" s="556"/>
      <c r="L125" s="556"/>
      <c r="M125" s="497"/>
    </row>
    <row r="126" spans="1:13" ht="12.75">
      <c r="A126" s="500" t="s">
        <v>514</v>
      </c>
      <c r="B126" s="503"/>
      <c r="C126" s="498" t="s">
        <v>110</v>
      </c>
      <c r="D126" s="500"/>
      <c r="E126" s="498" t="s">
        <v>110</v>
      </c>
      <c r="F126" s="500"/>
      <c r="G126" s="601" t="s">
        <v>110</v>
      </c>
      <c r="H126" s="580"/>
      <c r="I126" s="580">
        <f t="shared" si="10"/>
      </c>
      <c r="J126" s="552"/>
      <c r="K126" s="556"/>
      <c r="L126" s="556"/>
      <c r="M126" s="497"/>
    </row>
    <row r="127" spans="1:13" ht="12.75">
      <c r="A127" s="500" t="s">
        <v>515</v>
      </c>
      <c r="B127" s="503"/>
      <c r="C127" s="498" t="s">
        <v>110</v>
      </c>
      <c r="D127" s="500"/>
      <c r="E127" s="498" t="s">
        <v>110</v>
      </c>
      <c r="F127" s="500"/>
      <c r="G127" s="601" t="s">
        <v>110</v>
      </c>
      <c r="H127" s="580"/>
      <c r="I127" s="580">
        <f t="shared" si="10"/>
      </c>
      <c r="J127" s="552"/>
      <c r="K127" s="556"/>
      <c r="L127" s="556"/>
      <c r="M127" s="497"/>
    </row>
    <row r="128" spans="1:13" ht="12.75">
      <c r="A128" s="500" t="s">
        <v>516</v>
      </c>
      <c r="B128" s="503"/>
      <c r="C128" s="498" t="s">
        <v>110</v>
      </c>
      <c r="D128" s="500"/>
      <c r="E128" s="498" t="s">
        <v>110</v>
      </c>
      <c r="F128" s="500"/>
      <c r="G128" s="601" t="s">
        <v>110</v>
      </c>
      <c r="H128" s="580"/>
      <c r="I128" s="580">
        <f t="shared" si="10"/>
      </c>
      <c r="J128" s="552"/>
      <c r="K128" s="556"/>
      <c r="L128" s="556"/>
      <c r="M128" s="497"/>
    </row>
    <row r="129" spans="1:13" s="567" customFormat="1" ht="12.75">
      <c r="A129" s="505" t="s">
        <v>517</v>
      </c>
      <c r="B129" s="505"/>
      <c r="C129" s="529" t="s">
        <v>110</v>
      </c>
      <c r="D129" s="507"/>
      <c r="E129" s="529" t="s">
        <v>110</v>
      </c>
      <c r="F129" s="507"/>
      <c r="G129" s="600" t="s">
        <v>110</v>
      </c>
      <c r="H129" s="566"/>
      <c r="I129" s="566">
        <f t="shared" si="10"/>
      </c>
      <c r="J129" s="505"/>
      <c r="K129" s="592"/>
      <c r="L129" s="592"/>
      <c r="M129" s="557"/>
    </row>
    <row r="130" spans="1:13" ht="12.75">
      <c r="A130" s="500" t="s">
        <v>518</v>
      </c>
      <c r="B130" s="500"/>
      <c r="C130" s="498" t="s">
        <v>110</v>
      </c>
      <c r="D130" s="503"/>
      <c r="E130" s="498" t="s">
        <v>110</v>
      </c>
      <c r="F130" s="503"/>
      <c r="G130" s="601" t="s">
        <v>110</v>
      </c>
      <c r="H130" s="580"/>
      <c r="I130" s="580">
        <f t="shared" si="10"/>
      </c>
      <c r="J130" s="552"/>
      <c r="K130" s="556"/>
      <c r="L130" s="556"/>
      <c r="M130" s="497"/>
    </row>
    <row r="131" spans="1:13" ht="12.75">
      <c r="A131" s="500" t="s">
        <v>319</v>
      </c>
      <c r="B131" s="500">
        <v>62.45</v>
      </c>
      <c r="C131" s="498">
        <f>B131/'Field recov'!R131</f>
        <v>83.26666666666667</v>
      </c>
      <c r="D131" s="500">
        <v>2010</v>
      </c>
      <c r="E131" s="498">
        <f>D131/'Field recov'!S131</f>
        <v>2576.9230769230767</v>
      </c>
      <c r="F131" s="500" t="s">
        <v>464</v>
      </c>
      <c r="G131" s="602">
        <f>(0.05*14)/2</f>
        <v>0.35000000000000003</v>
      </c>
      <c r="H131" s="580">
        <f>C131+E131</f>
        <v>2660.1897435897436</v>
      </c>
      <c r="I131" s="580">
        <f t="shared" si="10"/>
        <v>83.26666666666667</v>
      </c>
      <c r="J131" s="590">
        <v>10.143</v>
      </c>
      <c r="K131" s="556">
        <f>H131/J131</f>
        <v>262.2685343182237</v>
      </c>
      <c r="L131" s="556">
        <f>I131/$J131</f>
        <v>8.209274047783364</v>
      </c>
      <c r="M131" s="497">
        <f>G131/J131</f>
        <v>0.03450655624568668</v>
      </c>
    </row>
    <row r="132" spans="1:13" ht="12.75">
      <c r="A132" s="500" t="s">
        <v>519</v>
      </c>
      <c r="B132" s="500" t="s">
        <v>110</v>
      </c>
      <c r="C132" s="498"/>
      <c r="D132" s="500"/>
      <c r="E132" s="498"/>
      <c r="F132" s="500"/>
      <c r="G132" s="601" t="s">
        <v>110</v>
      </c>
      <c r="H132" s="580"/>
      <c r="I132" s="580"/>
      <c r="J132" s="590"/>
      <c r="K132" s="556"/>
      <c r="L132" s="556"/>
      <c r="M132" s="497"/>
    </row>
    <row r="133" spans="1:13" ht="12.75">
      <c r="A133" s="500" t="s">
        <v>520</v>
      </c>
      <c r="B133" s="500" t="s">
        <v>110</v>
      </c>
      <c r="C133" s="498"/>
      <c r="D133" s="500"/>
      <c r="E133" s="498"/>
      <c r="F133" s="500"/>
      <c r="G133" s="601" t="s">
        <v>110</v>
      </c>
      <c r="H133" s="580"/>
      <c r="I133" s="580"/>
      <c r="J133" s="590"/>
      <c r="K133" s="556"/>
      <c r="L133" s="556"/>
      <c r="M133" s="497"/>
    </row>
    <row r="134" spans="1:13" ht="12.75">
      <c r="A134" s="500" t="s">
        <v>320</v>
      </c>
      <c r="B134" s="500">
        <v>143.1</v>
      </c>
      <c r="C134" s="498">
        <f>B134/'Field recov'!R134</f>
        <v>190.79999999999998</v>
      </c>
      <c r="D134" s="500">
        <v>6264</v>
      </c>
      <c r="E134" s="498">
        <f>D134/'Field recov'!S134</f>
        <v>8030.7692307692305</v>
      </c>
      <c r="F134" s="500">
        <v>0.117</v>
      </c>
      <c r="G134" s="603">
        <f>(F134*14)/('Field recov'!U134*2)</f>
        <v>1.1375000000000002</v>
      </c>
      <c r="H134" s="580">
        <f>C134+E134</f>
        <v>8221.56923076923</v>
      </c>
      <c r="I134" s="580">
        <f>C134</f>
        <v>190.79999999999998</v>
      </c>
      <c r="J134" s="590">
        <v>12.075</v>
      </c>
      <c r="K134" s="556">
        <f>H134/J134</f>
        <v>680.875298614429</v>
      </c>
      <c r="L134" s="556">
        <f>I134/$J134</f>
        <v>15.801242236024844</v>
      </c>
      <c r="M134" s="497">
        <f>G134/J134</f>
        <v>0.09420289855072465</v>
      </c>
    </row>
    <row r="135" spans="1:13" ht="12.75">
      <c r="A135" s="500" t="s">
        <v>521</v>
      </c>
      <c r="B135" s="500" t="s">
        <v>110</v>
      </c>
      <c r="C135" s="498"/>
      <c r="D135" s="500"/>
      <c r="E135" s="498"/>
      <c r="F135" s="500"/>
      <c r="G135" s="601" t="s">
        <v>110</v>
      </c>
      <c r="H135" s="580"/>
      <c r="I135" s="580"/>
      <c r="J135" s="590"/>
      <c r="K135" s="556"/>
      <c r="L135" s="556"/>
      <c r="M135" s="497"/>
    </row>
    <row r="136" spans="1:13" ht="12.75">
      <c r="A136" s="500" t="s">
        <v>522</v>
      </c>
      <c r="B136" s="500" t="s">
        <v>110</v>
      </c>
      <c r="C136" s="498"/>
      <c r="D136" s="500"/>
      <c r="E136" s="498"/>
      <c r="F136" s="500"/>
      <c r="G136" s="601" t="s">
        <v>110</v>
      </c>
      <c r="H136" s="580"/>
      <c r="I136" s="580"/>
      <c r="J136" s="590"/>
      <c r="K136" s="556"/>
      <c r="L136" s="556"/>
      <c r="M136" s="497"/>
    </row>
    <row r="137" spans="1:13" ht="12.75">
      <c r="A137" s="500" t="s">
        <v>321</v>
      </c>
      <c r="B137" s="500">
        <v>71.1</v>
      </c>
      <c r="C137" s="498">
        <f>B137/'Field recov'!R137</f>
        <v>94.8</v>
      </c>
      <c r="D137" s="500">
        <v>3712</v>
      </c>
      <c r="E137" s="498">
        <f>D137/'Field recov'!S137</f>
        <v>4758.974358974358</v>
      </c>
      <c r="F137" s="500" t="s">
        <v>464</v>
      </c>
      <c r="G137" s="602">
        <f>(0.05*14)/2</f>
        <v>0.35000000000000003</v>
      </c>
      <c r="H137" s="580">
        <f>C137+E137</f>
        <v>4853.774358974359</v>
      </c>
      <c r="I137" s="580">
        <f>C137</f>
        <v>94.8</v>
      </c>
      <c r="J137" s="590">
        <v>10.143</v>
      </c>
      <c r="K137" s="556">
        <f>H137/J137</f>
        <v>478.5343940623443</v>
      </c>
      <c r="L137" s="556">
        <f>I137/$J137</f>
        <v>9.346347234545991</v>
      </c>
      <c r="M137" s="497">
        <f>G137/J137</f>
        <v>0.03450655624568668</v>
      </c>
    </row>
    <row r="138" spans="1:13" ht="12.75">
      <c r="A138" s="500" t="s">
        <v>523</v>
      </c>
      <c r="B138" s="500" t="s">
        <v>110</v>
      </c>
      <c r="C138" s="498"/>
      <c r="D138" s="500"/>
      <c r="E138" s="498"/>
      <c r="F138" s="500"/>
      <c r="G138" s="601" t="s">
        <v>110</v>
      </c>
      <c r="H138" s="580"/>
      <c r="I138" s="580"/>
      <c r="J138" s="590"/>
      <c r="K138" s="556"/>
      <c r="L138" s="556"/>
      <c r="M138" s="497"/>
    </row>
    <row r="139" spans="1:13" ht="12.75">
      <c r="A139" s="500" t="s">
        <v>524</v>
      </c>
      <c r="B139" s="500" t="s">
        <v>110</v>
      </c>
      <c r="C139" s="498"/>
      <c r="D139" s="500"/>
      <c r="E139" s="498"/>
      <c r="F139" s="500"/>
      <c r="G139" s="601" t="s">
        <v>110</v>
      </c>
      <c r="H139" s="580"/>
      <c r="I139" s="580"/>
      <c r="J139" s="590"/>
      <c r="K139" s="556"/>
      <c r="L139" s="556"/>
      <c r="M139" s="497"/>
    </row>
    <row r="140" spans="1:13" ht="12.75">
      <c r="A140" s="500" t="s">
        <v>322</v>
      </c>
      <c r="B140" s="500">
        <v>29.65</v>
      </c>
      <c r="C140" s="498">
        <f>B140/'Field recov'!R140</f>
        <v>39.53333333333333</v>
      </c>
      <c r="D140" s="500">
        <v>677.3</v>
      </c>
      <c r="E140" s="498">
        <f>D140/'Field recov'!S140</f>
        <v>868.3333333333333</v>
      </c>
      <c r="F140" s="500" t="s">
        <v>464</v>
      </c>
      <c r="G140" s="602">
        <f>(0.05*14)/2</f>
        <v>0.35000000000000003</v>
      </c>
      <c r="H140" s="580">
        <f>C140+E140</f>
        <v>907.8666666666666</v>
      </c>
      <c r="I140" s="580">
        <f>C140</f>
        <v>39.53333333333333</v>
      </c>
      <c r="J140" s="590">
        <v>11.834</v>
      </c>
      <c r="K140" s="556">
        <f>H140/J140</f>
        <v>76.71680468705988</v>
      </c>
      <c r="L140" s="556">
        <f>I140/$J140</f>
        <v>3.3406568644020056</v>
      </c>
      <c r="M140" s="497">
        <f>G140/J140</f>
        <v>0.029575798546560762</v>
      </c>
    </row>
    <row r="141" spans="1:13" ht="12.75">
      <c r="A141" s="500" t="s">
        <v>525</v>
      </c>
      <c r="B141" s="500" t="s">
        <v>110</v>
      </c>
      <c r="C141" s="498"/>
      <c r="D141" s="500"/>
      <c r="E141" s="498"/>
      <c r="F141" s="500"/>
      <c r="G141" s="601" t="s">
        <v>110</v>
      </c>
      <c r="H141" s="580"/>
      <c r="I141" s="580"/>
      <c r="J141" s="590"/>
      <c r="K141" s="556"/>
      <c r="L141" s="556"/>
      <c r="M141" s="497"/>
    </row>
    <row r="142" spans="1:13" ht="12.75">
      <c r="A142" s="500" t="s">
        <v>526</v>
      </c>
      <c r="B142" s="500" t="s">
        <v>110</v>
      </c>
      <c r="C142" s="498"/>
      <c r="D142" s="500"/>
      <c r="E142" s="498"/>
      <c r="F142" s="500"/>
      <c r="G142" s="601" t="s">
        <v>110</v>
      </c>
      <c r="H142" s="580"/>
      <c r="I142" s="580"/>
      <c r="J142" s="590"/>
      <c r="K142" s="556"/>
      <c r="L142" s="556"/>
      <c r="M142" s="497"/>
    </row>
    <row r="143" spans="1:13" ht="12.75">
      <c r="A143" s="500" t="s">
        <v>323</v>
      </c>
      <c r="B143" s="500">
        <v>1774</v>
      </c>
      <c r="C143" s="498">
        <f>B143/'Field recov'!R143</f>
        <v>2365.3333333333335</v>
      </c>
      <c r="D143" s="500">
        <v>9657</v>
      </c>
      <c r="E143" s="498">
        <f>D143/'Field recov'!S143</f>
        <v>12380.76923076923</v>
      </c>
      <c r="F143" s="500">
        <v>0.151</v>
      </c>
      <c r="G143" s="603">
        <f>(F143*14)/('Field recov'!U143*2)</f>
        <v>1.4680555555555554</v>
      </c>
      <c r="H143" s="580">
        <f>C143+E143</f>
        <v>14746.102564102564</v>
      </c>
      <c r="I143" s="580">
        <f>C143</f>
        <v>2365.3333333333335</v>
      </c>
      <c r="J143" s="590">
        <v>11.834</v>
      </c>
      <c r="K143" s="556">
        <f>H143/J143</f>
        <v>1246.0793108080586</v>
      </c>
      <c r="L143" s="556">
        <f>I143/$J143</f>
        <v>199.87606332037635</v>
      </c>
      <c r="M143" s="497">
        <f>G143/J143</f>
        <v>0.12405404390362984</v>
      </c>
    </row>
    <row r="144" spans="1:13" ht="12.75">
      <c r="A144" s="500" t="s">
        <v>527</v>
      </c>
      <c r="B144" s="500" t="s">
        <v>110</v>
      </c>
      <c r="C144" s="498"/>
      <c r="D144" s="500"/>
      <c r="E144" s="498"/>
      <c r="F144" s="500"/>
      <c r="G144" s="599" t="s">
        <v>110</v>
      </c>
      <c r="H144" s="580"/>
      <c r="I144" s="580"/>
      <c r="J144" s="590"/>
      <c r="K144" s="556"/>
      <c r="L144" s="556"/>
      <c r="M144" s="497"/>
    </row>
    <row r="145" spans="1:13" ht="12.75">
      <c r="A145" s="500" t="s">
        <v>528</v>
      </c>
      <c r="B145" s="500" t="s">
        <v>110</v>
      </c>
      <c r="C145" s="498"/>
      <c r="D145" s="500"/>
      <c r="E145" s="498"/>
      <c r="F145" s="500"/>
      <c r="G145" s="601" t="s">
        <v>110</v>
      </c>
      <c r="H145" s="580"/>
      <c r="I145" s="580"/>
      <c r="J145" s="590"/>
      <c r="K145" s="556"/>
      <c r="L145" s="556"/>
      <c r="M145" s="497"/>
    </row>
    <row r="146" spans="1:13" ht="12.75">
      <c r="A146" s="500" t="s">
        <v>324</v>
      </c>
      <c r="B146" s="500">
        <v>149.7</v>
      </c>
      <c r="C146" s="498">
        <f>B146/'Field recov'!R146</f>
        <v>199.6</v>
      </c>
      <c r="D146" s="500">
        <v>15080</v>
      </c>
      <c r="E146" s="498">
        <f>D146/'Field recov'!S146</f>
        <v>20657.534246575342</v>
      </c>
      <c r="F146" s="500" t="s">
        <v>464</v>
      </c>
      <c r="G146" s="602">
        <f>(0.05*14)/2</f>
        <v>0.35000000000000003</v>
      </c>
      <c r="H146" s="580">
        <f>C146+E146</f>
        <v>20857.13424657534</v>
      </c>
      <c r="I146" s="618">
        <f>C146</f>
        <v>199.6</v>
      </c>
      <c r="J146" s="590">
        <v>10.143</v>
      </c>
      <c r="K146" s="556">
        <f>H146/J146</f>
        <v>2056.3082171522565</v>
      </c>
      <c r="L146" s="556">
        <f>I146/$J146</f>
        <v>19.678596076111603</v>
      </c>
      <c r="M146" s="497">
        <f>G146/J146</f>
        <v>0.03450655624568668</v>
      </c>
    </row>
    <row r="147" spans="1:13" ht="12.75">
      <c r="A147" s="500" t="s">
        <v>529</v>
      </c>
      <c r="B147" s="500" t="s">
        <v>110</v>
      </c>
      <c r="C147" s="498"/>
      <c r="D147" s="500"/>
      <c r="E147" s="498"/>
      <c r="F147" s="500"/>
      <c r="G147" s="601" t="s">
        <v>110</v>
      </c>
      <c r="H147" s="580"/>
      <c r="I147" s="580"/>
      <c r="J147" s="590"/>
      <c r="K147" s="556"/>
      <c r="L147" s="556"/>
      <c r="M147" s="497"/>
    </row>
    <row r="148" spans="1:13" ht="12.75">
      <c r="A148" s="500" t="s">
        <v>530</v>
      </c>
      <c r="B148" s="500" t="s">
        <v>110</v>
      </c>
      <c r="C148" s="498"/>
      <c r="D148" s="500"/>
      <c r="E148" s="498"/>
      <c r="F148" s="500"/>
      <c r="G148" s="601" t="s">
        <v>110</v>
      </c>
      <c r="H148" s="580"/>
      <c r="I148" s="580"/>
      <c r="J148" s="590"/>
      <c r="K148" s="556"/>
      <c r="L148" s="556"/>
      <c r="M148" s="497"/>
    </row>
    <row r="149" spans="1:13" ht="12.75">
      <c r="A149" s="500" t="s">
        <v>325</v>
      </c>
      <c r="B149" s="500">
        <v>413.5</v>
      </c>
      <c r="C149" s="498">
        <f>B149/'Field recov'!R149</f>
        <v>551.3333333333334</v>
      </c>
      <c r="D149" s="500">
        <v>7820</v>
      </c>
      <c r="E149" s="498">
        <f>D149/'Field recov'!S149</f>
        <v>10025.641025641025</v>
      </c>
      <c r="F149" s="500" t="s">
        <v>464</v>
      </c>
      <c r="G149" s="602">
        <f>(0.05*14)/2</f>
        <v>0.35000000000000003</v>
      </c>
      <c r="H149" s="580">
        <f>C149+E149</f>
        <v>10576.97435897436</v>
      </c>
      <c r="I149" s="580">
        <f>C149</f>
        <v>551.3333333333334</v>
      </c>
      <c r="J149" s="590">
        <v>13.524</v>
      </c>
      <c r="K149" s="556">
        <f>H149/J149</f>
        <v>782.0892013438598</v>
      </c>
      <c r="L149" s="556">
        <f>I149/$J149</f>
        <v>40.76703145026127</v>
      </c>
      <c r="M149" s="497">
        <f>G149/J149</f>
        <v>0.025879917184265015</v>
      </c>
    </row>
    <row r="150" spans="1:13" ht="12.75">
      <c r="A150" s="500" t="s">
        <v>531</v>
      </c>
      <c r="B150" s="500" t="s">
        <v>110</v>
      </c>
      <c r="C150" s="498"/>
      <c r="D150" s="500"/>
      <c r="E150" s="498"/>
      <c r="F150" s="500"/>
      <c r="G150" s="601" t="s">
        <v>110</v>
      </c>
      <c r="H150" s="580"/>
      <c r="I150" s="580"/>
      <c r="J150" s="590"/>
      <c r="K150" s="556"/>
      <c r="L150" s="556"/>
      <c r="M150" s="497"/>
    </row>
    <row r="151" spans="1:13" ht="12.75">
      <c r="A151" s="500" t="s">
        <v>532</v>
      </c>
      <c r="B151" s="500" t="s">
        <v>110</v>
      </c>
      <c r="C151" s="498"/>
      <c r="D151" s="500"/>
      <c r="E151" s="498"/>
      <c r="F151" s="500"/>
      <c r="G151" s="601" t="s">
        <v>110</v>
      </c>
      <c r="H151" s="580"/>
      <c r="I151" s="580"/>
      <c r="J151" s="590"/>
      <c r="K151" s="556"/>
      <c r="L151" s="556"/>
      <c r="M151" s="497"/>
    </row>
    <row r="152" spans="1:13" ht="12.75">
      <c r="A152" s="500" t="s">
        <v>326</v>
      </c>
      <c r="B152" s="500">
        <v>3903</v>
      </c>
      <c r="C152" s="498">
        <f>B152/'Field recov'!R152</f>
        <v>5204</v>
      </c>
      <c r="D152" s="500">
        <v>10940</v>
      </c>
      <c r="E152" s="498">
        <f>D152/'Field recov'!S152</f>
        <v>14986.301369863015</v>
      </c>
      <c r="F152" s="500" t="s">
        <v>464</v>
      </c>
      <c r="G152" s="602">
        <f>(0.05*14)/2</f>
        <v>0.35000000000000003</v>
      </c>
      <c r="H152" s="580">
        <f>C152+E152</f>
        <v>20190.301369863017</v>
      </c>
      <c r="I152" s="580">
        <f>C152</f>
        <v>5204</v>
      </c>
      <c r="J152" s="590">
        <v>10.143</v>
      </c>
      <c r="K152" s="556">
        <f>H152/J152</f>
        <v>1990.565056675837</v>
      </c>
      <c r="L152" s="556">
        <f>I152/$J152</f>
        <v>513.0631962930099</v>
      </c>
      <c r="M152" s="497">
        <f>G152/J152</f>
        <v>0.03450655624568668</v>
      </c>
    </row>
    <row r="153" spans="1:13" ht="12.75">
      <c r="A153" s="500" t="s">
        <v>533</v>
      </c>
      <c r="B153" s="500" t="s">
        <v>110</v>
      </c>
      <c r="C153" s="498"/>
      <c r="D153" s="500"/>
      <c r="E153" s="498"/>
      <c r="F153" s="500"/>
      <c r="G153" s="601" t="s">
        <v>110</v>
      </c>
      <c r="H153" s="580"/>
      <c r="I153" s="580"/>
      <c r="J153" s="590"/>
      <c r="K153" s="556"/>
      <c r="L153" s="556"/>
      <c r="M153" s="497"/>
    </row>
    <row r="154" spans="1:13" ht="12.75">
      <c r="A154" s="500" t="s">
        <v>534</v>
      </c>
      <c r="B154" s="500" t="s">
        <v>110</v>
      </c>
      <c r="C154" s="498"/>
      <c r="D154" s="500"/>
      <c r="E154" s="498"/>
      <c r="F154" s="500"/>
      <c r="G154" s="601" t="s">
        <v>110</v>
      </c>
      <c r="H154" s="580"/>
      <c r="I154" s="580"/>
      <c r="J154" s="590"/>
      <c r="K154" s="556"/>
      <c r="L154" s="556"/>
      <c r="M154" s="497"/>
    </row>
    <row r="155" spans="1:13" ht="12.75">
      <c r="A155" s="500" t="s">
        <v>327</v>
      </c>
      <c r="B155" s="500">
        <v>102.1</v>
      </c>
      <c r="C155" s="498">
        <f>B155/'Field recov'!R155</f>
        <v>136.13333333333333</v>
      </c>
      <c r="D155" s="500">
        <v>14810</v>
      </c>
      <c r="E155" s="498">
        <f>D155/'Field recov'!S155</f>
        <v>20287.671232876713</v>
      </c>
      <c r="F155" s="500">
        <v>0.151</v>
      </c>
      <c r="G155" s="603">
        <f>(F155*14)/('Field recov'!U155*2)</f>
        <v>1.4680555555555554</v>
      </c>
      <c r="H155" s="580">
        <f>C155+E155</f>
        <v>20423.80456621005</v>
      </c>
      <c r="I155" s="580">
        <f>C155</f>
        <v>136.13333333333333</v>
      </c>
      <c r="J155" s="590">
        <v>13.524</v>
      </c>
      <c r="K155" s="556">
        <f>H155/J155</f>
        <v>1510.1896307460847</v>
      </c>
      <c r="L155" s="556">
        <f>I155/$J155</f>
        <v>10.066055407670314</v>
      </c>
      <c r="M155" s="497">
        <f>G155/J155</f>
        <v>0.10855187485622268</v>
      </c>
    </row>
    <row r="156" spans="1:13" ht="12.75">
      <c r="A156" s="500" t="s">
        <v>535</v>
      </c>
      <c r="B156" s="500" t="s">
        <v>110</v>
      </c>
      <c r="C156" s="498"/>
      <c r="D156" s="500"/>
      <c r="E156" s="498"/>
      <c r="F156" s="500"/>
      <c r="G156" s="601" t="s">
        <v>110</v>
      </c>
      <c r="H156" s="580"/>
      <c r="I156" s="580"/>
      <c r="J156" s="590"/>
      <c r="K156" s="556"/>
      <c r="L156" s="556"/>
      <c r="M156" s="497"/>
    </row>
    <row r="157" spans="1:13" ht="12.75">
      <c r="A157" s="500" t="s">
        <v>536</v>
      </c>
      <c r="B157" s="500" t="s">
        <v>110</v>
      </c>
      <c r="C157" s="498"/>
      <c r="D157" s="500"/>
      <c r="E157" s="498"/>
      <c r="F157" s="500"/>
      <c r="G157" s="601" t="s">
        <v>110</v>
      </c>
      <c r="H157" s="580"/>
      <c r="I157" s="580"/>
      <c r="J157" s="590"/>
      <c r="K157" s="556"/>
      <c r="L157" s="556"/>
      <c r="M157" s="497"/>
    </row>
    <row r="158" spans="1:13" ht="12.75">
      <c r="A158" s="500" t="s">
        <v>328</v>
      </c>
      <c r="B158" s="500">
        <v>80.35</v>
      </c>
      <c r="C158" s="498">
        <f>B158/'Field recov'!R158</f>
        <v>107.13333333333333</v>
      </c>
      <c r="D158" s="500">
        <v>7401</v>
      </c>
      <c r="E158" s="498">
        <f>D158/'Field recov'!S158</f>
        <v>9488.461538461539</v>
      </c>
      <c r="F158" s="500" t="s">
        <v>464</v>
      </c>
      <c r="G158" s="602">
        <f>(0.05*14)/2</f>
        <v>0.35000000000000003</v>
      </c>
      <c r="H158" s="580">
        <f>C158+E158</f>
        <v>9595.594871794872</v>
      </c>
      <c r="I158" s="580">
        <f>C158</f>
        <v>107.13333333333333</v>
      </c>
      <c r="J158" s="590">
        <v>10.143</v>
      </c>
      <c r="K158" s="556">
        <f>H158/J158</f>
        <v>946.0312404411783</v>
      </c>
      <c r="L158" s="556">
        <f>I158/$J158</f>
        <v>10.562292549870188</v>
      </c>
      <c r="M158" s="497">
        <f>G158/J158</f>
        <v>0.03450655624568668</v>
      </c>
    </row>
    <row r="159" spans="1:13" ht="12.75">
      <c r="A159" s="500" t="s">
        <v>537</v>
      </c>
      <c r="B159" s="500" t="s">
        <v>110</v>
      </c>
      <c r="C159" s="498"/>
      <c r="D159" s="500"/>
      <c r="E159" s="498"/>
      <c r="F159" s="500"/>
      <c r="G159" s="601" t="s">
        <v>110</v>
      </c>
      <c r="H159" s="580"/>
      <c r="I159" s="580"/>
      <c r="J159" s="590"/>
      <c r="K159" s="556"/>
      <c r="L159" s="556"/>
      <c r="M159" s="497"/>
    </row>
    <row r="160" spans="1:13" ht="12.75">
      <c r="A160" s="500" t="s">
        <v>538</v>
      </c>
      <c r="B160" s="500" t="s">
        <v>110</v>
      </c>
      <c r="C160" s="498"/>
      <c r="D160" s="500"/>
      <c r="E160" s="498"/>
      <c r="F160" s="500"/>
      <c r="G160" s="601" t="s">
        <v>110</v>
      </c>
      <c r="H160" s="580"/>
      <c r="I160" s="580"/>
      <c r="J160" s="590"/>
      <c r="K160" s="556"/>
      <c r="L160" s="556"/>
      <c r="M160" s="497"/>
    </row>
    <row r="161" spans="1:13" ht="12.75">
      <c r="A161" s="500" t="s">
        <v>329</v>
      </c>
      <c r="B161" s="500">
        <v>2.9</v>
      </c>
      <c r="C161" s="498">
        <f>B161/'Field recov'!R161</f>
        <v>4.027777777777778</v>
      </c>
      <c r="D161" s="500">
        <v>3317</v>
      </c>
      <c r="E161" s="498">
        <f>D161/'Field recov'!S161</f>
        <v>4252.5641025641025</v>
      </c>
      <c r="F161" s="500" t="s">
        <v>464</v>
      </c>
      <c r="G161" s="602">
        <f>(0.05*14)/2</f>
        <v>0.35000000000000003</v>
      </c>
      <c r="H161" s="580">
        <f>C161+E161</f>
        <v>4256.59188034188</v>
      </c>
      <c r="I161" s="580">
        <f>C161</f>
        <v>4.027777777777778</v>
      </c>
      <c r="J161" s="590">
        <v>11.834</v>
      </c>
      <c r="K161" s="556">
        <f>H161/J161</f>
        <v>359.69172556547915</v>
      </c>
      <c r="L161" s="556">
        <f>I161/$J161</f>
        <v>0.34035641184534204</v>
      </c>
      <c r="M161" s="497">
        <f>G161/J161</f>
        <v>0.029575798546560762</v>
      </c>
    </row>
    <row r="162" spans="1:13" ht="12.75">
      <c r="A162" s="500" t="s">
        <v>539</v>
      </c>
      <c r="B162" s="503"/>
      <c r="C162" s="498"/>
      <c r="D162" s="500"/>
      <c r="E162" s="498"/>
      <c r="F162" s="500"/>
      <c r="G162" s="601" t="s">
        <v>110</v>
      </c>
      <c r="H162" s="580"/>
      <c r="I162" s="580"/>
      <c r="J162" s="590"/>
      <c r="K162" s="556"/>
      <c r="L162" s="556"/>
      <c r="M162" s="497"/>
    </row>
    <row r="163" spans="1:13" ht="12.75">
      <c r="A163" s="500" t="s">
        <v>540</v>
      </c>
      <c r="B163" s="503"/>
      <c r="C163" s="498"/>
      <c r="D163" s="500"/>
      <c r="E163" s="498"/>
      <c r="F163" s="500"/>
      <c r="G163" s="601" t="s">
        <v>110</v>
      </c>
      <c r="H163" s="580"/>
      <c r="I163" s="580"/>
      <c r="J163" s="590"/>
      <c r="K163" s="556"/>
      <c r="L163" s="556"/>
      <c r="M163" s="497"/>
    </row>
    <row r="164" spans="1:13" ht="12.75">
      <c r="A164" s="500" t="s">
        <v>330</v>
      </c>
      <c r="B164" s="503">
        <v>50.05</v>
      </c>
      <c r="C164" s="498">
        <f>B164/'Field recov'!R164</f>
        <v>66.73333333333333</v>
      </c>
      <c r="D164" s="500">
        <v>543.7</v>
      </c>
      <c r="E164" s="498">
        <f>D164/'Field recov'!S164</f>
        <v>697.0512820512821</v>
      </c>
      <c r="F164" s="500" t="s">
        <v>464</v>
      </c>
      <c r="G164" s="602">
        <f>(0.05*14)/2</f>
        <v>0.35000000000000003</v>
      </c>
      <c r="H164" s="580">
        <f>C164+E164</f>
        <v>763.7846153846154</v>
      </c>
      <c r="I164" s="580">
        <f>C164</f>
        <v>66.73333333333333</v>
      </c>
      <c r="J164" s="590">
        <v>10.143</v>
      </c>
      <c r="K164" s="556">
        <f>H164/J164</f>
        <v>75.30164797245543</v>
      </c>
      <c r="L164" s="556">
        <f aca="true" t="shared" si="15" ref="L164:L223">I164/$J164</f>
        <v>6.579250057510927</v>
      </c>
      <c r="M164" s="497">
        <f aca="true" t="shared" si="16" ref="M164:M223">G164/J164</f>
        <v>0.03450655624568668</v>
      </c>
    </row>
    <row r="165" spans="1:13" s="567" customFormat="1" ht="12.75">
      <c r="A165" s="539" t="s">
        <v>550</v>
      </c>
      <c r="B165" s="507" t="s">
        <v>464</v>
      </c>
      <c r="C165" s="529">
        <f>0.05</f>
        <v>0.05</v>
      </c>
      <c r="D165" s="507">
        <v>577.1</v>
      </c>
      <c r="E165" s="529">
        <f>D165/'Field recov'!S165</f>
        <v>712.4691358024692</v>
      </c>
      <c r="F165" s="507">
        <v>1.381</v>
      </c>
      <c r="G165" s="600">
        <f>(F165*14)/('Field recov'!U165*2)</f>
        <v>14.216176470588234</v>
      </c>
      <c r="H165" s="566">
        <f>C165+E165</f>
        <v>712.5191358024691</v>
      </c>
      <c r="I165" s="566">
        <f>C165</f>
        <v>0.05</v>
      </c>
      <c r="J165" s="595">
        <v>0.225</v>
      </c>
      <c r="K165" s="592">
        <f>H165/J165</f>
        <v>3166.7517146776404</v>
      </c>
      <c r="L165" s="592">
        <f t="shared" si="15"/>
        <v>0.22222222222222224</v>
      </c>
      <c r="M165" s="557">
        <f t="shared" si="16"/>
        <v>63.183006535947705</v>
      </c>
    </row>
    <row r="166" spans="1:13" ht="12.75">
      <c r="A166" s="522" t="s">
        <v>551</v>
      </c>
      <c r="B166" s="503"/>
      <c r="C166" s="498" t="s">
        <v>110</v>
      </c>
      <c r="D166" s="503"/>
      <c r="E166" s="498"/>
      <c r="F166" s="503"/>
      <c r="G166" s="601" t="s">
        <v>110</v>
      </c>
      <c r="H166" s="580"/>
      <c r="I166" s="618"/>
      <c r="J166" s="586" t="s">
        <v>110</v>
      </c>
      <c r="K166" s="556"/>
      <c r="L166" s="556"/>
      <c r="M166" s="497"/>
    </row>
    <row r="167" spans="1:13" ht="12.75">
      <c r="A167" s="522" t="s">
        <v>552</v>
      </c>
      <c r="B167" s="503">
        <v>1.11</v>
      </c>
      <c r="C167" s="565">
        <f>B167/'Field recov'!R167</f>
        <v>2.018181818181818</v>
      </c>
      <c r="D167" s="503">
        <v>132.7</v>
      </c>
      <c r="E167" s="565">
        <f>D167/'Field recov'!S167</f>
        <v>163.82716049382714</v>
      </c>
      <c r="F167" s="503">
        <v>0.205</v>
      </c>
      <c r="G167" s="601">
        <f>(F167*14)/('Field recov'!U167*2)</f>
        <v>2.1102941176470584</v>
      </c>
      <c r="H167" s="580">
        <f>C167+E167</f>
        <v>165.84534231200897</v>
      </c>
      <c r="I167" s="580">
        <f>C167</f>
        <v>2.018181818181818</v>
      </c>
      <c r="J167" s="590">
        <v>0.225</v>
      </c>
      <c r="K167" s="556">
        <f>H167/J167</f>
        <v>737.0904102755954</v>
      </c>
      <c r="L167" s="556">
        <f t="shared" si="15"/>
        <v>8.969696969696969</v>
      </c>
      <c r="M167" s="497">
        <f t="shared" si="16"/>
        <v>9.37908496732026</v>
      </c>
    </row>
    <row r="168" spans="1:13" ht="12.75">
      <c r="A168" s="522" t="s">
        <v>553</v>
      </c>
      <c r="B168" s="503"/>
      <c r="C168" s="498" t="s">
        <v>110</v>
      </c>
      <c r="D168" s="503"/>
      <c r="E168" s="498"/>
      <c r="F168" s="503"/>
      <c r="G168" s="601" t="s">
        <v>110</v>
      </c>
      <c r="H168" s="580"/>
      <c r="I168" s="580"/>
      <c r="J168" s="586" t="s">
        <v>110</v>
      </c>
      <c r="K168" s="556"/>
      <c r="L168" s="556"/>
      <c r="M168" s="497"/>
    </row>
    <row r="169" spans="1:13" ht="12.75">
      <c r="A169" s="522" t="s">
        <v>554</v>
      </c>
      <c r="B169" s="503" t="s">
        <v>464</v>
      </c>
      <c r="C169" s="498">
        <f>0.05</f>
        <v>0.05</v>
      </c>
      <c r="D169" s="503">
        <v>177.37</v>
      </c>
      <c r="E169" s="498">
        <f>D169/'Field recov'!S169</f>
        <v>218.9753086419753</v>
      </c>
      <c r="F169" s="503" t="s">
        <v>464</v>
      </c>
      <c r="G169" s="601">
        <f>(0.05*14)/2</f>
        <v>0.35000000000000003</v>
      </c>
      <c r="H169" s="580">
        <f>C169+E169</f>
        <v>219.0253086419753</v>
      </c>
      <c r="I169" s="580">
        <f>C169</f>
        <v>0.05</v>
      </c>
      <c r="J169" s="590">
        <v>0.3</v>
      </c>
      <c r="K169" s="556">
        <f>H169/J169</f>
        <v>730.0843621399177</v>
      </c>
      <c r="L169" s="556">
        <f t="shared" si="15"/>
        <v>0.16666666666666669</v>
      </c>
      <c r="M169" s="497">
        <f t="shared" si="16"/>
        <v>1.1666666666666667</v>
      </c>
    </row>
    <row r="170" spans="1:13" ht="12.75">
      <c r="A170" s="522" t="s">
        <v>555</v>
      </c>
      <c r="B170" s="503"/>
      <c r="C170" s="498" t="s">
        <v>110</v>
      </c>
      <c r="D170" s="503"/>
      <c r="E170" s="498"/>
      <c r="F170" s="503"/>
      <c r="G170" s="601" t="s">
        <v>110</v>
      </c>
      <c r="H170" s="580"/>
      <c r="I170" s="580"/>
      <c r="J170" s="586" t="s">
        <v>110</v>
      </c>
      <c r="K170" s="556"/>
      <c r="L170" s="556"/>
      <c r="M170" s="497"/>
    </row>
    <row r="171" spans="1:13" ht="12.75">
      <c r="A171" s="522" t="s">
        <v>556</v>
      </c>
      <c r="B171" s="503">
        <v>1.17</v>
      </c>
      <c r="C171" s="565">
        <f>B171/'Field recov'!R171</f>
        <v>2.127272727272727</v>
      </c>
      <c r="D171" s="503">
        <v>2122</v>
      </c>
      <c r="E171" s="565">
        <f>D171/'Field recov'!S171</f>
        <v>2867.5675675675675</v>
      </c>
      <c r="F171" s="503">
        <v>0.368</v>
      </c>
      <c r="G171" s="601">
        <f>(F171*14)/('Field recov'!U171*2)</f>
        <v>3.788235294117647</v>
      </c>
      <c r="H171" s="580">
        <f>C171+E171</f>
        <v>2869.69484029484</v>
      </c>
      <c r="I171" s="580">
        <f>C171</f>
        <v>2.127272727272727</v>
      </c>
      <c r="J171" s="590">
        <v>0.675</v>
      </c>
      <c r="K171" s="556">
        <f>H171/J171</f>
        <v>4251.399763399763</v>
      </c>
      <c r="L171" s="556">
        <f t="shared" si="15"/>
        <v>3.151515151515151</v>
      </c>
      <c r="M171" s="497">
        <f t="shared" si="16"/>
        <v>5.6122004357298465</v>
      </c>
    </row>
    <row r="172" spans="1:13" ht="12.75">
      <c r="A172" s="522" t="s">
        <v>557</v>
      </c>
      <c r="B172" s="503"/>
      <c r="C172" s="498" t="s">
        <v>110</v>
      </c>
      <c r="D172" s="503"/>
      <c r="E172" s="498"/>
      <c r="F172" s="503"/>
      <c r="G172" s="601" t="s">
        <v>110</v>
      </c>
      <c r="H172" s="580"/>
      <c r="I172" s="580"/>
      <c r="J172" s="586" t="s">
        <v>110</v>
      </c>
      <c r="K172" s="556"/>
      <c r="L172" s="556"/>
      <c r="M172" s="497"/>
    </row>
    <row r="173" spans="1:13" ht="12.75">
      <c r="A173" s="522" t="s">
        <v>558</v>
      </c>
      <c r="B173" s="503" t="s">
        <v>464</v>
      </c>
      <c r="C173" s="498">
        <f>0.05</f>
        <v>0.05</v>
      </c>
      <c r="D173" s="503">
        <v>385.53</v>
      </c>
      <c r="E173" s="498">
        <f>D173/'Field recov'!S173</f>
        <v>475.9629629629629</v>
      </c>
      <c r="F173" s="503">
        <v>0.14</v>
      </c>
      <c r="G173" s="601">
        <f>(F173*14)/('Field recov'!U173*2)</f>
        <v>1.4411764705882353</v>
      </c>
      <c r="H173" s="580">
        <f>C173+E173</f>
        <v>476.0129629629629</v>
      </c>
      <c r="I173" s="580">
        <f>C173</f>
        <v>0.05</v>
      </c>
      <c r="J173" s="590">
        <v>0.675</v>
      </c>
      <c r="K173" s="556">
        <f>H173/J173</f>
        <v>705.2043895747598</v>
      </c>
      <c r="L173" s="556">
        <f t="shared" si="15"/>
        <v>0.07407407407407407</v>
      </c>
      <c r="M173" s="497">
        <f t="shared" si="16"/>
        <v>2.1350762527233114</v>
      </c>
    </row>
    <row r="174" spans="1:13" ht="12.75">
      <c r="A174" s="522" t="s">
        <v>118</v>
      </c>
      <c r="B174" s="503"/>
      <c r="C174" s="498" t="s">
        <v>110</v>
      </c>
      <c r="D174" s="503"/>
      <c r="E174" s="498"/>
      <c r="F174" s="503"/>
      <c r="G174" s="601" t="s">
        <v>110</v>
      </c>
      <c r="H174" s="580"/>
      <c r="I174" s="580"/>
      <c r="J174" s="586" t="s">
        <v>110</v>
      </c>
      <c r="K174" s="556"/>
      <c r="L174" s="556"/>
      <c r="M174" s="497"/>
    </row>
    <row r="175" spans="1:13" ht="12.75">
      <c r="A175" s="522" t="s">
        <v>119</v>
      </c>
      <c r="B175" s="503" t="s">
        <v>464</v>
      </c>
      <c r="C175" s="498">
        <f>0.05</f>
        <v>0.05</v>
      </c>
      <c r="D175" s="503">
        <v>1547</v>
      </c>
      <c r="E175" s="498">
        <f>D175/'Field recov'!S175</f>
        <v>2090.5405405405404</v>
      </c>
      <c r="F175" s="503">
        <v>0.378</v>
      </c>
      <c r="G175" s="601">
        <f>(F175*14)/('Field recov'!U175*2)</f>
        <v>3.891176470588235</v>
      </c>
      <c r="H175" s="580">
        <f>C175+E175</f>
        <v>2090.5905405405406</v>
      </c>
      <c r="I175" s="580">
        <f>C175</f>
        <v>0.05</v>
      </c>
      <c r="J175" s="590">
        <v>0.3</v>
      </c>
      <c r="K175" s="556">
        <f>H175/J175</f>
        <v>6968.635135135136</v>
      </c>
      <c r="L175" s="556">
        <f t="shared" si="15"/>
        <v>0.16666666666666669</v>
      </c>
      <c r="M175" s="497">
        <f t="shared" si="16"/>
        <v>12.970588235294116</v>
      </c>
    </row>
    <row r="176" spans="1:13" ht="12.75">
      <c r="A176" s="522" t="s">
        <v>120</v>
      </c>
      <c r="B176" s="503"/>
      <c r="C176" s="498" t="s">
        <v>110</v>
      </c>
      <c r="D176" s="503"/>
      <c r="E176" s="498"/>
      <c r="F176" s="503"/>
      <c r="G176" s="601" t="s">
        <v>110</v>
      </c>
      <c r="H176" s="580"/>
      <c r="I176" s="580"/>
      <c r="J176" s="586" t="s">
        <v>110</v>
      </c>
      <c r="K176" s="556"/>
      <c r="L176" s="556"/>
      <c r="M176" s="497"/>
    </row>
    <row r="177" spans="1:13" ht="12.75">
      <c r="A177" s="522" t="s">
        <v>121</v>
      </c>
      <c r="B177" s="503" t="s">
        <v>464</v>
      </c>
      <c r="C177" s="498">
        <f>0.05</f>
        <v>0.05</v>
      </c>
      <c r="D177" s="503">
        <v>628.9</v>
      </c>
      <c r="E177" s="498">
        <f>D177/'Field recov'!S177</f>
        <v>776.4197530864196</v>
      </c>
      <c r="F177" s="503" t="s">
        <v>464</v>
      </c>
      <c r="G177" s="601">
        <f>(0.05*14)/2</f>
        <v>0.35000000000000003</v>
      </c>
      <c r="H177" s="580">
        <f>C177+E177</f>
        <v>776.4697530864196</v>
      </c>
      <c r="I177" s="580">
        <f>C177</f>
        <v>0.05</v>
      </c>
      <c r="J177" s="590">
        <v>0.45</v>
      </c>
      <c r="K177" s="556">
        <f>H177/J177</f>
        <v>1725.4883401920436</v>
      </c>
      <c r="L177" s="556">
        <f t="shared" si="15"/>
        <v>0.11111111111111112</v>
      </c>
      <c r="M177" s="497">
        <f t="shared" si="16"/>
        <v>0.7777777777777778</v>
      </c>
    </row>
    <row r="178" spans="1:13" ht="12.75">
      <c r="A178" s="522" t="s">
        <v>122</v>
      </c>
      <c r="B178" s="503"/>
      <c r="C178" s="498" t="s">
        <v>110</v>
      </c>
      <c r="D178" s="503"/>
      <c r="E178" s="498"/>
      <c r="F178" s="503"/>
      <c r="G178" s="601" t="s">
        <v>110</v>
      </c>
      <c r="H178" s="580"/>
      <c r="I178" s="580"/>
      <c r="J178" s="586" t="s">
        <v>110</v>
      </c>
      <c r="K178" s="556"/>
      <c r="L178" s="556"/>
      <c r="M178" s="497"/>
    </row>
    <row r="179" spans="1:13" ht="12.75">
      <c r="A179" s="522" t="s">
        <v>123</v>
      </c>
      <c r="B179" s="503" t="s">
        <v>464</v>
      </c>
      <c r="C179" s="498">
        <f>0.05</f>
        <v>0.05</v>
      </c>
      <c r="D179" s="503">
        <v>438.6</v>
      </c>
      <c r="E179" s="498">
        <f>D179/'Field recov'!S179</f>
        <v>541.4814814814815</v>
      </c>
      <c r="F179" s="503">
        <v>0.339</v>
      </c>
      <c r="G179" s="601">
        <f>(F179*14)/('Field recov'!U179*2)</f>
        <v>3.489705882352941</v>
      </c>
      <c r="H179" s="580">
        <f>C179+E179</f>
        <v>541.5314814814815</v>
      </c>
      <c r="I179" s="580">
        <f>C179</f>
        <v>0.05</v>
      </c>
      <c r="J179" s="590">
        <v>0.25</v>
      </c>
      <c r="K179" s="556">
        <f>H179/J179</f>
        <v>2166.125925925926</v>
      </c>
      <c r="L179" s="556">
        <f t="shared" si="15"/>
        <v>0.2</v>
      </c>
      <c r="M179" s="497">
        <f t="shared" si="16"/>
        <v>13.958823529411765</v>
      </c>
    </row>
    <row r="180" spans="1:13" ht="12.75">
      <c r="A180" s="522" t="s">
        <v>124</v>
      </c>
      <c r="B180" s="503"/>
      <c r="C180" s="498" t="s">
        <v>110</v>
      </c>
      <c r="D180" s="503"/>
      <c r="E180" s="498"/>
      <c r="F180" s="503"/>
      <c r="G180" s="601" t="s">
        <v>110</v>
      </c>
      <c r="H180" s="580"/>
      <c r="I180" s="580"/>
      <c r="J180" s="586" t="s">
        <v>110</v>
      </c>
      <c r="K180" s="556"/>
      <c r="L180" s="556"/>
      <c r="M180" s="497"/>
    </row>
    <row r="181" spans="1:13" ht="12.75">
      <c r="A181" s="522" t="s">
        <v>125</v>
      </c>
      <c r="B181" s="503">
        <v>1.11</v>
      </c>
      <c r="C181" s="565">
        <f>B181/'Field recov'!R181</f>
        <v>2.018181818181818</v>
      </c>
      <c r="D181" s="503">
        <v>822.2</v>
      </c>
      <c r="E181" s="565">
        <f>D181/'Field recov'!S181</f>
        <v>1015.0617283950617</v>
      </c>
      <c r="F181" s="503">
        <v>5.0169999999999995</v>
      </c>
      <c r="G181" s="601">
        <f>(F181*14)/('Field recov'!U181*2)</f>
        <v>51.64558823529411</v>
      </c>
      <c r="H181" s="580">
        <f>C181+E181</f>
        <v>1017.0799102132435</v>
      </c>
      <c r="I181" s="580">
        <f>C181</f>
        <v>2.018181818181818</v>
      </c>
      <c r="J181" s="590">
        <v>0.435</v>
      </c>
      <c r="K181" s="556">
        <f>H181/J181</f>
        <v>2338.114736122399</v>
      </c>
      <c r="L181" s="556">
        <f t="shared" si="15"/>
        <v>4.63949843260188</v>
      </c>
      <c r="M181" s="497">
        <f t="shared" si="16"/>
        <v>118.72549019607843</v>
      </c>
    </row>
    <row r="182" spans="1:13" ht="12.75">
      <c r="A182" s="522" t="s">
        <v>126</v>
      </c>
      <c r="B182" s="503"/>
      <c r="C182" s="498" t="s">
        <v>110</v>
      </c>
      <c r="D182" s="503"/>
      <c r="E182" s="498"/>
      <c r="F182" s="503"/>
      <c r="G182" s="601" t="s">
        <v>110</v>
      </c>
      <c r="H182" s="580"/>
      <c r="I182" s="580"/>
      <c r="J182" s="586" t="s">
        <v>110</v>
      </c>
      <c r="K182" s="556"/>
      <c r="L182" s="556"/>
      <c r="M182" s="497"/>
    </row>
    <row r="183" spans="1:13" ht="12.75">
      <c r="A183" s="522" t="s">
        <v>127</v>
      </c>
      <c r="B183" s="503" t="s">
        <v>464</v>
      </c>
      <c r="C183" s="498">
        <f>0.05</f>
        <v>0.05</v>
      </c>
      <c r="D183" s="503">
        <v>102.7</v>
      </c>
      <c r="E183" s="498">
        <f>D183/'Field recov'!S183</f>
        <v>126.79012345679011</v>
      </c>
      <c r="F183" s="503" t="s">
        <v>464</v>
      </c>
      <c r="G183" s="601">
        <f>(0.05*14)/2</f>
        <v>0.35000000000000003</v>
      </c>
      <c r="H183" s="580">
        <f>C183+E183</f>
        <v>126.84012345679011</v>
      </c>
      <c r="I183" s="580">
        <f>C183</f>
        <v>0.05</v>
      </c>
      <c r="J183" s="590">
        <v>0.233</v>
      </c>
      <c r="K183" s="556">
        <f>H183/J183</f>
        <v>544.3782122609017</v>
      </c>
      <c r="L183" s="556">
        <f t="shared" si="15"/>
        <v>0.2145922746781116</v>
      </c>
      <c r="M183" s="497">
        <f t="shared" si="16"/>
        <v>1.5021459227467813</v>
      </c>
    </row>
    <row r="184" spans="1:13" ht="12.75">
      <c r="A184" s="522" t="s">
        <v>128</v>
      </c>
      <c r="B184" s="500"/>
      <c r="C184" s="498" t="s">
        <v>110</v>
      </c>
      <c r="D184" s="503"/>
      <c r="E184" s="498" t="s">
        <v>110</v>
      </c>
      <c r="F184" s="500"/>
      <c r="G184" s="601" t="s">
        <v>110</v>
      </c>
      <c r="H184" s="580"/>
      <c r="I184" s="580"/>
      <c r="J184" s="552"/>
      <c r="K184" s="556"/>
      <c r="L184" s="556"/>
      <c r="M184" s="497"/>
    </row>
    <row r="185" spans="1:13" s="567" customFormat="1" ht="12.75">
      <c r="A185" s="539" t="s">
        <v>543</v>
      </c>
      <c r="B185" s="505">
        <v>28.33</v>
      </c>
      <c r="C185" s="529">
        <f>B185/'Field recov'!R185</f>
        <v>32.56321839080459</v>
      </c>
      <c r="D185" s="507">
        <v>1212</v>
      </c>
      <c r="E185" s="529">
        <f>D185/'Field recov'!S185</f>
        <v>1212</v>
      </c>
      <c r="F185" s="507">
        <v>0.22</v>
      </c>
      <c r="G185" s="604">
        <f>(F185*14)/('Field recov'!U185*2)</f>
        <v>7.333333333333334</v>
      </c>
      <c r="H185" s="566">
        <f>C185+E185</f>
        <v>1244.5632183908046</v>
      </c>
      <c r="I185" s="566">
        <f>C185</f>
        <v>32.56321839080459</v>
      </c>
      <c r="J185" s="595">
        <v>1.5</v>
      </c>
      <c r="K185" s="592">
        <f>H185/J185</f>
        <v>829.7088122605364</v>
      </c>
      <c r="L185" s="592">
        <f t="shared" si="15"/>
        <v>21.708812260536394</v>
      </c>
      <c r="M185" s="557">
        <f t="shared" si="16"/>
        <v>4.888888888888889</v>
      </c>
    </row>
    <row r="186" spans="1:13" ht="12.75">
      <c r="A186" s="522" t="s">
        <v>544</v>
      </c>
      <c r="B186" s="500"/>
      <c r="C186" s="498" t="s">
        <v>110</v>
      </c>
      <c r="D186" s="503"/>
      <c r="E186" s="498" t="s">
        <v>110</v>
      </c>
      <c r="F186" s="503"/>
      <c r="G186" s="599" t="s">
        <v>110</v>
      </c>
      <c r="H186" s="580"/>
      <c r="I186" s="580"/>
      <c r="J186" s="586" t="s">
        <v>110</v>
      </c>
      <c r="K186" s="556"/>
      <c r="L186" s="556"/>
      <c r="M186" s="497"/>
    </row>
    <row r="187" spans="1:13" ht="12.75">
      <c r="A187" s="522" t="s">
        <v>545</v>
      </c>
      <c r="B187" s="500">
        <v>25.59</v>
      </c>
      <c r="C187" s="498">
        <f>B187/'Field recov'!R187</f>
        <v>29.413793103448278</v>
      </c>
      <c r="D187" s="631">
        <v>856</v>
      </c>
      <c r="E187" s="498">
        <f>D187/'Field recov'!S187</f>
        <v>856</v>
      </c>
      <c r="F187" s="503" t="s">
        <v>464</v>
      </c>
      <c r="G187" s="602">
        <f>(0.05*14)/2</f>
        <v>0.35000000000000003</v>
      </c>
      <c r="H187" s="580">
        <f>C187+E187</f>
        <v>885.4137931034483</v>
      </c>
      <c r="I187" s="580">
        <f>C187</f>
        <v>29.413793103448278</v>
      </c>
      <c r="J187" s="590">
        <v>1.1</v>
      </c>
      <c r="K187" s="556">
        <f>H187/J187</f>
        <v>804.9216300940438</v>
      </c>
      <c r="L187" s="556">
        <f t="shared" si="15"/>
        <v>26.739811912225704</v>
      </c>
      <c r="M187" s="497">
        <f t="shared" si="16"/>
        <v>0.3181818181818182</v>
      </c>
    </row>
    <row r="188" spans="1:13" ht="12.75">
      <c r="A188" s="522" t="s">
        <v>546</v>
      </c>
      <c r="B188" s="500"/>
      <c r="C188" s="498" t="s">
        <v>110</v>
      </c>
      <c r="D188" s="503"/>
      <c r="E188" s="498" t="s">
        <v>110</v>
      </c>
      <c r="F188" s="503"/>
      <c r="G188" s="601" t="s">
        <v>110</v>
      </c>
      <c r="H188" s="580"/>
      <c r="I188" s="580"/>
      <c r="J188" s="586" t="s">
        <v>110</v>
      </c>
      <c r="K188" s="556"/>
      <c r="L188" s="556"/>
      <c r="M188" s="497"/>
    </row>
    <row r="189" spans="1:13" ht="12.75">
      <c r="A189" s="522" t="s">
        <v>547</v>
      </c>
      <c r="B189" s="500" t="s">
        <v>464</v>
      </c>
      <c r="C189" s="498">
        <v>0.5</v>
      </c>
      <c r="D189" s="503">
        <v>614.8</v>
      </c>
      <c r="E189" s="498">
        <f>D189/'Field recov'!S189</f>
        <v>614.8</v>
      </c>
      <c r="F189" s="503" t="s">
        <v>464</v>
      </c>
      <c r="G189" s="602">
        <f>(0.05*14)/2</f>
        <v>0.35000000000000003</v>
      </c>
      <c r="H189" s="580">
        <f>C189+E189</f>
        <v>615.3</v>
      </c>
      <c r="I189" s="580">
        <f>C189</f>
        <v>0.5</v>
      </c>
      <c r="J189" s="590">
        <v>0.7</v>
      </c>
      <c r="K189" s="556">
        <f>H189/J189</f>
        <v>879</v>
      </c>
      <c r="L189" s="556">
        <f t="shared" si="15"/>
        <v>0.7142857142857143</v>
      </c>
      <c r="M189" s="497">
        <f t="shared" si="16"/>
        <v>0.5000000000000001</v>
      </c>
    </row>
    <row r="190" spans="1:13" ht="12.75">
      <c r="A190" s="522" t="s">
        <v>548</v>
      </c>
      <c r="B190" s="500"/>
      <c r="C190" s="498" t="s">
        <v>110</v>
      </c>
      <c r="D190" s="503"/>
      <c r="E190" s="498" t="s">
        <v>110</v>
      </c>
      <c r="F190" s="503"/>
      <c r="G190" s="601" t="s">
        <v>110</v>
      </c>
      <c r="H190" s="580"/>
      <c r="I190" s="580"/>
      <c r="J190" s="586" t="s">
        <v>110</v>
      </c>
      <c r="K190" s="556"/>
      <c r="L190" s="556"/>
      <c r="M190" s="497"/>
    </row>
    <row r="191" spans="1:13" ht="12.75">
      <c r="A191" s="522" t="s">
        <v>549</v>
      </c>
      <c r="B191" s="500">
        <v>153.4</v>
      </c>
      <c r="C191" s="498">
        <f>B191/'Field recov'!R191</f>
        <v>176.32183908045977</v>
      </c>
      <c r="D191" s="500">
        <v>3539</v>
      </c>
      <c r="E191" s="498">
        <f>D191/'Field recov'!S191</f>
        <v>3539</v>
      </c>
      <c r="F191" s="503">
        <v>0.132</v>
      </c>
      <c r="G191" s="603">
        <f>(F191*14)/('Field recov'!U191*2)</f>
        <v>4.4</v>
      </c>
      <c r="H191" s="580">
        <f>C191+E191</f>
        <v>3715.3218390804595</v>
      </c>
      <c r="I191" s="580">
        <f>C191</f>
        <v>176.32183908045977</v>
      </c>
      <c r="J191" s="590">
        <v>1.433</v>
      </c>
      <c r="K191" s="556">
        <f>H191/J191</f>
        <v>2592.6879546967616</v>
      </c>
      <c r="L191" s="556">
        <f t="shared" si="15"/>
        <v>123.04385141692936</v>
      </c>
      <c r="M191" s="497">
        <f t="shared" si="16"/>
        <v>3.0704815073272855</v>
      </c>
    </row>
    <row r="192" spans="1:13" ht="12.75">
      <c r="A192" s="522" t="s">
        <v>136</v>
      </c>
      <c r="B192" s="500"/>
      <c r="C192" s="498" t="s">
        <v>110</v>
      </c>
      <c r="D192" s="503"/>
      <c r="E192" s="498" t="s">
        <v>110</v>
      </c>
      <c r="F192" s="503"/>
      <c r="G192" s="601" t="s">
        <v>110</v>
      </c>
      <c r="H192" s="580"/>
      <c r="I192" s="580"/>
      <c r="J192" s="590" t="s">
        <v>110</v>
      </c>
      <c r="K192" s="556"/>
      <c r="L192" s="556"/>
      <c r="M192" s="497"/>
    </row>
    <row r="193" spans="1:13" ht="12.75">
      <c r="A193" s="522" t="s">
        <v>137</v>
      </c>
      <c r="B193" s="500">
        <v>6.32</v>
      </c>
      <c r="C193" s="498">
        <f>B193/'Field recov'!R193</f>
        <v>6.32</v>
      </c>
      <c r="D193" s="503">
        <v>1950</v>
      </c>
      <c r="E193" s="498">
        <f>D193/'Field recov'!S193</f>
        <v>1950</v>
      </c>
      <c r="F193" s="503">
        <v>0.203</v>
      </c>
      <c r="G193" s="603">
        <f>(F193*14)/('Field recov'!U193*2)</f>
        <v>6.7666666666666675</v>
      </c>
      <c r="H193" s="580">
        <f>C193+E193</f>
        <v>1956.32</v>
      </c>
      <c r="I193" s="580">
        <f>C193</f>
        <v>6.32</v>
      </c>
      <c r="J193" s="590">
        <v>0.825</v>
      </c>
      <c r="K193" s="556">
        <f>H193/J193</f>
        <v>2371.29696969697</v>
      </c>
      <c r="L193" s="556">
        <f t="shared" si="15"/>
        <v>7.660606060606061</v>
      </c>
      <c r="M193" s="497">
        <f t="shared" si="16"/>
        <v>8.202020202020204</v>
      </c>
    </row>
    <row r="194" spans="1:13" ht="12.75">
      <c r="A194" s="522" t="s">
        <v>138</v>
      </c>
      <c r="B194" s="500"/>
      <c r="C194" s="498" t="s">
        <v>110</v>
      </c>
      <c r="D194" s="500"/>
      <c r="E194" s="498" t="s">
        <v>110</v>
      </c>
      <c r="F194" s="503"/>
      <c r="G194" s="601" t="s">
        <v>110</v>
      </c>
      <c r="H194" s="580"/>
      <c r="I194" s="580"/>
      <c r="J194" s="590" t="s">
        <v>110</v>
      </c>
      <c r="K194" s="556"/>
      <c r="L194" s="556"/>
      <c r="M194" s="497"/>
    </row>
    <row r="195" spans="1:13" ht="12.75">
      <c r="A195" s="522" t="s">
        <v>139</v>
      </c>
      <c r="B195" s="500">
        <v>7.122</v>
      </c>
      <c r="C195" s="498">
        <f>B195/'Field recov'!R195</f>
        <v>7.122</v>
      </c>
      <c r="D195" s="503">
        <v>637.6</v>
      </c>
      <c r="E195" s="498">
        <f>D195/'Field recov'!S195</f>
        <v>637.6</v>
      </c>
      <c r="F195" s="500" t="s">
        <v>464</v>
      </c>
      <c r="G195" s="602">
        <f>(0.05*14)/2</f>
        <v>0.35000000000000003</v>
      </c>
      <c r="H195" s="580">
        <f>C195+E195</f>
        <v>644.722</v>
      </c>
      <c r="I195" s="580">
        <f>C195</f>
        <v>7.122</v>
      </c>
      <c r="J195" s="590">
        <v>0.465</v>
      </c>
      <c r="K195" s="556">
        <f aca="true" t="shared" si="17" ref="K195:K223">H195/J195</f>
        <v>1386.4989247311826</v>
      </c>
      <c r="L195" s="556">
        <f t="shared" si="15"/>
        <v>15.316129032258063</v>
      </c>
      <c r="M195" s="497">
        <f t="shared" si="16"/>
        <v>0.7526881720430108</v>
      </c>
    </row>
    <row r="196" spans="1:13" ht="12.75">
      <c r="A196" s="522" t="s">
        <v>140</v>
      </c>
      <c r="B196" s="500"/>
      <c r="C196" s="498" t="s">
        <v>110</v>
      </c>
      <c r="D196" s="503"/>
      <c r="E196" s="498" t="s">
        <v>110</v>
      </c>
      <c r="F196" s="500"/>
      <c r="G196" s="601" t="s">
        <v>110</v>
      </c>
      <c r="H196" s="580"/>
      <c r="I196" s="580"/>
      <c r="J196" s="586" t="s">
        <v>110</v>
      </c>
      <c r="K196" s="556"/>
      <c r="L196" s="556"/>
      <c r="M196" s="497"/>
    </row>
    <row r="197" spans="1:13" ht="12.75">
      <c r="A197" s="522" t="s">
        <v>141</v>
      </c>
      <c r="B197" s="500">
        <v>6.016</v>
      </c>
      <c r="C197" s="498">
        <f>B197/'Field recov'!R197</f>
        <v>6.016</v>
      </c>
      <c r="D197" s="503">
        <v>1066</v>
      </c>
      <c r="E197" s="498">
        <f>D197/'Field recov'!S197</f>
        <v>1066</v>
      </c>
      <c r="F197" s="500">
        <v>0.301</v>
      </c>
      <c r="G197" s="603">
        <f>(F197*14)/('Field recov'!U197*2)</f>
        <v>10.033333333333333</v>
      </c>
      <c r="H197" s="580">
        <f>C197+E197</f>
        <v>1072.016</v>
      </c>
      <c r="I197" s="580">
        <f>C197</f>
        <v>6.016</v>
      </c>
      <c r="J197" s="590">
        <v>0.876</v>
      </c>
      <c r="K197" s="556">
        <f t="shared" si="17"/>
        <v>1223.7625570776256</v>
      </c>
      <c r="L197" s="556">
        <f t="shared" si="15"/>
        <v>6.867579908675799</v>
      </c>
      <c r="M197" s="497">
        <f t="shared" si="16"/>
        <v>11.45357686453577</v>
      </c>
    </row>
    <row r="198" spans="1:13" ht="12.75">
      <c r="A198" s="522" t="s">
        <v>142</v>
      </c>
      <c r="B198" s="500"/>
      <c r="C198" s="498" t="s">
        <v>110</v>
      </c>
      <c r="D198" s="503"/>
      <c r="E198" s="498" t="s">
        <v>110</v>
      </c>
      <c r="F198" s="500"/>
      <c r="G198" s="601" t="s">
        <v>110</v>
      </c>
      <c r="H198" s="580"/>
      <c r="I198" s="580"/>
      <c r="J198" s="586" t="s">
        <v>110</v>
      </c>
      <c r="K198" s="556"/>
      <c r="L198" s="556"/>
      <c r="M198" s="497"/>
    </row>
    <row r="199" spans="1:13" ht="12.75">
      <c r="A199" s="522" t="s">
        <v>143</v>
      </c>
      <c r="B199" s="500">
        <v>3.433</v>
      </c>
      <c r="C199" s="498">
        <f>B199/'Field recov'!R199</f>
        <v>3.433</v>
      </c>
      <c r="D199" s="503">
        <v>2299</v>
      </c>
      <c r="E199" s="498">
        <f>D199/'Field recov'!S199</f>
        <v>2299</v>
      </c>
      <c r="F199" s="500">
        <v>0.321</v>
      </c>
      <c r="G199" s="603">
        <f>(F199*14)/('Field recov'!U199*2)</f>
        <v>10.7</v>
      </c>
      <c r="H199" s="580">
        <f>C199+E199</f>
        <v>2302.433</v>
      </c>
      <c r="I199" s="580">
        <f>C199</f>
        <v>3.433</v>
      </c>
      <c r="J199" s="591">
        <v>0.3525</v>
      </c>
      <c r="K199" s="556">
        <f t="shared" si="17"/>
        <v>6531.724822695036</v>
      </c>
      <c r="L199" s="556">
        <f t="shared" si="15"/>
        <v>9.739007092198582</v>
      </c>
      <c r="M199" s="497">
        <f t="shared" si="16"/>
        <v>30.354609929078013</v>
      </c>
    </row>
    <row r="200" spans="1:13" ht="12.75">
      <c r="A200" s="522" t="s">
        <v>144</v>
      </c>
      <c r="B200" s="500"/>
      <c r="C200" s="498" t="s">
        <v>110</v>
      </c>
      <c r="D200" s="503"/>
      <c r="E200" s="498" t="s">
        <v>110</v>
      </c>
      <c r="F200" s="500"/>
      <c r="G200" s="601" t="s">
        <v>110</v>
      </c>
      <c r="H200" s="580"/>
      <c r="I200" s="580"/>
      <c r="J200" s="586" t="s">
        <v>110</v>
      </c>
      <c r="K200" s="556"/>
      <c r="L200" s="556"/>
      <c r="M200" s="497"/>
    </row>
    <row r="201" spans="1:13" ht="12.75">
      <c r="A201" s="522" t="s">
        <v>145</v>
      </c>
      <c r="B201" s="500">
        <v>1.31</v>
      </c>
      <c r="C201" s="498">
        <f>B201/'Field recov'!R201</f>
        <v>1.31</v>
      </c>
      <c r="D201" s="503">
        <v>1097</v>
      </c>
      <c r="E201" s="498">
        <f>D201/'Field recov'!S201</f>
        <v>1097</v>
      </c>
      <c r="F201" s="500">
        <v>0.27599999999999997</v>
      </c>
      <c r="G201" s="603">
        <f>(F201*14)/('Field recov'!U201*2)</f>
        <v>9.2</v>
      </c>
      <c r="H201" s="580">
        <f>C201+E201</f>
        <v>1098.31</v>
      </c>
      <c r="I201" s="580">
        <f>C201</f>
        <v>1.31</v>
      </c>
      <c r="J201" s="590">
        <v>0.308</v>
      </c>
      <c r="K201" s="556">
        <f t="shared" si="17"/>
        <v>3565.9415584415583</v>
      </c>
      <c r="L201" s="556">
        <f t="shared" si="15"/>
        <v>4.253246753246754</v>
      </c>
      <c r="M201" s="497">
        <f t="shared" si="16"/>
        <v>29.87012987012987</v>
      </c>
    </row>
    <row r="202" spans="1:13" ht="12.75">
      <c r="A202" s="522" t="s">
        <v>146</v>
      </c>
      <c r="B202" s="500"/>
      <c r="C202" s="498" t="s">
        <v>110</v>
      </c>
      <c r="D202" s="503"/>
      <c r="E202" s="498" t="s">
        <v>110</v>
      </c>
      <c r="F202" s="500"/>
      <c r="G202" s="601" t="s">
        <v>110</v>
      </c>
      <c r="H202" s="580"/>
      <c r="I202" s="580"/>
      <c r="J202" s="586" t="s">
        <v>110</v>
      </c>
      <c r="K202" s="556"/>
      <c r="L202" s="556"/>
      <c r="M202" s="497"/>
    </row>
    <row r="203" spans="1:13" ht="12.75">
      <c r="A203" s="522" t="s">
        <v>147</v>
      </c>
      <c r="B203" s="500">
        <v>20.03</v>
      </c>
      <c r="C203" s="498">
        <f>B203/'Field recov'!R203</f>
        <v>20.03</v>
      </c>
      <c r="D203" s="503">
        <v>1555</v>
      </c>
      <c r="E203" s="498">
        <f>D203/'Field recov'!S203</f>
        <v>1555</v>
      </c>
      <c r="F203" s="500">
        <v>0.445</v>
      </c>
      <c r="G203" s="603">
        <f>(F203*14)/('Field recov'!U203*2)</f>
        <v>14.833333333333336</v>
      </c>
      <c r="H203" s="580">
        <f aca="true" t="shared" si="18" ref="H203:H264">C203+E203</f>
        <v>1575.03</v>
      </c>
      <c r="I203" s="580">
        <f>C203</f>
        <v>20.03</v>
      </c>
      <c r="J203" s="590">
        <v>0.908</v>
      </c>
      <c r="K203" s="556">
        <f t="shared" si="17"/>
        <v>1734.6145374449338</v>
      </c>
      <c r="L203" s="556">
        <f t="shared" si="15"/>
        <v>22.059471365638768</v>
      </c>
      <c r="M203" s="497">
        <f t="shared" si="16"/>
        <v>16.336270190895743</v>
      </c>
    </row>
    <row r="204" spans="1:13" ht="12.75">
      <c r="A204" s="522" t="s">
        <v>148</v>
      </c>
      <c r="B204" s="500"/>
      <c r="C204" s="498" t="s">
        <v>110</v>
      </c>
      <c r="D204" s="503"/>
      <c r="E204" s="498" t="s">
        <v>110</v>
      </c>
      <c r="F204" s="500"/>
      <c r="G204" s="601" t="s">
        <v>110</v>
      </c>
      <c r="H204" s="580"/>
      <c r="I204" s="580"/>
      <c r="J204" s="552"/>
      <c r="K204" s="556"/>
      <c r="L204" s="556"/>
      <c r="M204" s="497"/>
    </row>
    <row r="205" spans="1:15" s="567" customFormat="1" ht="12.75">
      <c r="A205" s="539" t="s">
        <v>559</v>
      </c>
      <c r="B205" s="505">
        <v>1.657</v>
      </c>
      <c r="C205" s="529">
        <f>B205/'Field recov'!R205</f>
        <v>2.09746835443038</v>
      </c>
      <c r="D205" s="507">
        <v>2840</v>
      </c>
      <c r="E205" s="529">
        <f>D205/'Field recov'!S205</f>
        <v>3227.2727272727275</v>
      </c>
      <c r="F205" s="507" t="s">
        <v>464</v>
      </c>
      <c r="G205" s="600">
        <f>(0.05*14)/2</f>
        <v>0.35000000000000003</v>
      </c>
      <c r="H205" s="566">
        <f t="shared" si="18"/>
        <v>3229.370195627158</v>
      </c>
      <c r="I205" s="566">
        <f>C205</f>
        <v>2.09746835443038</v>
      </c>
      <c r="J205" s="585">
        <v>0.48</v>
      </c>
      <c r="K205" s="592">
        <f t="shared" si="17"/>
        <v>6727.854574223246</v>
      </c>
      <c r="L205" s="592">
        <f t="shared" si="15"/>
        <v>4.369725738396625</v>
      </c>
      <c r="M205" s="557">
        <f t="shared" si="16"/>
        <v>0.7291666666666667</v>
      </c>
      <c r="O205" s="614"/>
    </row>
    <row r="206" spans="1:15" ht="12.75">
      <c r="A206" s="522" t="s">
        <v>560</v>
      </c>
      <c r="B206" s="500"/>
      <c r="C206" s="498" t="s">
        <v>110</v>
      </c>
      <c r="D206" s="503"/>
      <c r="E206" s="498" t="s">
        <v>110</v>
      </c>
      <c r="F206" s="503"/>
      <c r="G206" s="601" t="s">
        <v>110</v>
      </c>
      <c r="H206" s="580"/>
      <c r="I206" s="580"/>
      <c r="J206" s="586"/>
      <c r="K206" s="556"/>
      <c r="L206" s="556"/>
      <c r="M206" s="497"/>
      <c r="O206" s="613"/>
    </row>
    <row r="207" spans="1:15" ht="12.75">
      <c r="A207" s="522" t="s">
        <v>561</v>
      </c>
      <c r="B207" s="500" t="s">
        <v>464</v>
      </c>
      <c r="C207" s="498">
        <f>0.5</f>
        <v>0.5</v>
      </c>
      <c r="D207" s="503">
        <v>16.78</v>
      </c>
      <c r="E207" s="498">
        <f>D207/'Field recov'!S207</f>
        <v>18.043010752688172</v>
      </c>
      <c r="F207" s="503" t="s">
        <v>464</v>
      </c>
      <c r="G207" s="601">
        <f>(0.05*14)/2</f>
        <v>0.35000000000000003</v>
      </c>
      <c r="H207" s="580">
        <f t="shared" si="18"/>
        <v>18.543010752688172</v>
      </c>
      <c r="I207" s="580">
        <f>C207</f>
        <v>0.5</v>
      </c>
      <c r="J207" s="586">
        <v>0.6</v>
      </c>
      <c r="K207" s="556">
        <f t="shared" si="17"/>
        <v>30.905017921146953</v>
      </c>
      <c r="L207" s="556">
        <f t="shared" si="15"/>
        <v>0.8333333333333334</v>
      </c>
      <c r="M207" s="497">
        <f t="shared" si="16"/>
        <v>0.5833333333333334</v>
      </c>
      <c r="O207" s="613"/>
    </row>
    <row r="208" spans="1:15" ht="12.75">
      <c r="A208" s="522" t="s">
        <v>562</v>
      </c>
      <c r="B208" s="500"/>
      <c r="C208" s="498" t="s">
        <v>110</v>
      </c>
      <c r="D208" s="503"/>
      <c r="E208" s="498" t="s">
        <v>110</v>
      </c>
      <c r="F208" s="503"/>
      <c r="G208" s="601" t="s">
        <v>110</v>
      </c>
      <c r="H208" s="580"/>
      <c r="I208" s="580"/>
      <c r="J208" s="586"/>
      <c r="K208" s="556"/>
      <c r="L208" s="556"/>
      <c r="M208" s="497"/>
      <c r="O208" s="613"/>
    </row>
    <row r="209" spans="1:15" ht="12.75">
      <c r="A209" s="522" t="s">
        <v>563</v>
      </c>
      <c r="B209" s="500">
        <v>42.21</v>
      </c>
      <c r="C209" s="498">
        <f>B209/'Field recov'!R209</f>
        <v>56.28</v>
      </c>
      <c r="D209" s="503">
        <v>1489</v>
      </c>
      <c r="E209" s="498">
        <f>D209/'Field recov'!S209</f>
        <v>1692.0454545454545</v>
      </c>
      <c r="F209" s="503">
        <v>0.414</v>
      </c>
      <c r="G209" s="601">
        <f>(F209*14)/('Field recov'!U209*2.05)</f>
        <v>8.567627494456762</v>
      </c>
      <c r="H209" s="580">
        <f t="shared" si="18"/>
        <v>1748.3254545454545</v>
      </c>
      <c r="I209" s="580">
        <f>C209</f>
        <v>56.28</v>
      </c>
      <c r="J209" s="591">
        <v>0.9375</v>
      </c>
      <c r="K209" s="556">
        <f t="shared" si="17"/>
        <v>1864.8804848484847</v>
      </c>
      <c r="L209" s="556">
        <f t="shared" si="15"/>
        <v>60.032000000000004</v>
      </c>
      <c r="M209" s="497">
        <f t="shared" si="16"/>
        <v>9.138802660753878</v>
      </c>
      <c r="O209" s="613"/>
    </row>
    <row r="210" spans="1:15" ht="12.75">
      <c r="A210" s="522" t="s">
        <v>564</v>
      </c>
      <c r="B210" s="500"/>
      <c r="C210" s="498" t="s">
        <v>110</v>
      </c>
      <c r="D210" s="503"/>
      <c r="E210" s="498" t="s">
        <v>110</v>
      </c>
      <c r="F210" s="503"/>
      <c r="G210" s="601" t="s">
        <v>110</v>
      </c>
      <c r="H210" s="580"/>
      <c r="I210" s="580"/>
      <c r="J210" s="586"/>
      <c r="K210" s="556"/>
      <c r="L210" s="556"/>
      <c r="M210" s="497"/>
      <c r="O210" s="613"/>
    </row>
    <row r="211" spans="1:15" ht="12.75">
      <c r="A211" s="522" t="s">
        <v>565</v>
      </c>
      <c r="B211" s="500">
        <v>4.3</v>
      </c>
      <c r="C211" s="498">
        <f>B211/'Field recov'!R211</f>
        <v>5.443037974683544</v>
      </c>
      <c r="D211" s="500">
        <v>1634</v>
      </c>
      <c r="E211" s="498">
        <f>D211/'Field recov'!S211</f>
        <v>1856.8181818181818</v>
      </c>
      <c r="F211" s="500">
        <v>0.869</v>
      </c>
      <c r="G211" s="601">
        <f>(F211*14)/('Field recov'!U211*2)</f>
        <v>18.433333333333334</v>
      </c>
      <c r="H211" s="580">
        <f t="shared" si="18"/>
        <v>1862.2612197928654</v>
      </c>
      <c r="I211" s="580">
        <f>C211</f>
        <v>5.443037974683544</v>
      </c>
      <c r="J211" s="586">
        <v>1.2</v>
      </c>
      <c r="K211" s="556">
        <f t="shared" si="17"/>
        <v>1551.884349827388</v>
      </c>
      <c r="L211" s="556">
        <f t="shared" si="15"/>
        <v>4.5358649789029535</v>
      </c>
      <c r="M211" s="497">
        <f t="shared" si="16"/>
        <v>15.361111111111112</v>
      </c>
      <c r="O211" s="613"/>
    </row>
    <row r="212" spans="1:15" ht="12.75">
      <c r="A212" s="522" t="s">
        <v>156</v>
      </c>
      <c r="B212" s="500"/>
      <c r="C212" s="498" t="s">
        <v>110</v>
      </c>
      <c r="D212" s="503"/>
      <c r="E212" s="498" t="s">
        <v>110</v>
      </c>
      <c r="F212" s="503"/>
      <c r="G212" s="601" t="s">
        <v>110</v>
      </c>
      <c r="H212" s="580"/>
      <c r="I212" s="580"/>
      <c r="J212" s="586"/>
      <c r="K212" s="556"/>
      <c r="L212" s="556"/>
      <c r="M212" s="497"/>
      <c r="O212" s="613"/>
    </row>
    <row r="213" spans="1:15" ht="12.75">
      <c r="A213" s="522" t="s">
        <v>157</v>
      </c>
      <c r="B213" s="500">
        <v>16.34</v>
      </c>
      <c r="C213" s="498">
        <f>B213/'Field recov'!R213</f>
        <v>20.68354430379747</v>
      </c>
      <c r="D213" s="503">
        <v>467.5</v>
      </c>
      <c r="E213" s="498">
        <f>D213/'Field recov'!S213</f>
        <v>531.25</v>
      </c>
      <c r="F213" s="503" t="s">
        <v>464</v>
      </c>
      <c r="G213" s="601">
        <f>(0.05*14)/2</f>
        <v>0.35000000000000003</v>
      </c>
      <c r="H213" s="580">
        <f t="shared" si="18"/>
        <v>551.9335443037975</v>
      </c>
      <c r="I213" s="580">
        <f>C213</f>
        <v>20.68354430379747</v>
      </c>
      <c r="J213" s="586">
        <v>0.55</v>
      </c>
      <c r="K213" s="556">
        <f t="shared" si="17"/>
        <v>1003.5155350978135</v>
      </c>
      <c r="L213" s="556">
        <f t="shared" si="15"/>
        <v>37.60644418872267</v>
      </c>
      <c r="M213" s="497">
        <f t="shared" si="16"/>
        <v>0.6363636363636364</v>
      </c>
      <c r="O213" s="613"/>
    </row>
    <row r="214" spans="1:15" ht="12.75">
      <c r="A214" s="522" t="s">
        <v>158</v>
      </c>
      <c r="B214" s="500"/>
      <c r="C214" s="498" t="s">
        <v>110</v>
      </c>
      <c r="D214" s="500"/>
      <c r="E214" s="498" t="s">
        <v>110</v>
      </c>
      <c r="F214" s="503"/>
      <c r="G214" s="601" t="s">
        <v>110</v>
      </c>
      <c r="H214" s="580"/>
      <c r="I214" s="580"/>
      <c r="J214" s="586"/>
      <c r="K214" s="556"/>
      <c r="L214" s="556"/>
      <c r="M214" s="497"/>
      <c r="O214" s="613"/>
    </row>
    <row r="215" spans="1:15" ht="12.75">
      <c r="A215" s="522" t="s">
        <v>159</v>
      </c>
      <c r="B215" s="500" t="s">
        <v>464</v>
      </c>
      <c r="C215" s="498">
        <f>0.5</f>
        <v>0.5</v>
      </c>
      <c r="D215" s="503">
        <v>656.2</v>
      </c>
      <c r="E215" s="498">
        <f>D215/'Field recov'!S215</f>
        <v>745.6818181818182</v>
      </c>
      <c r="F215" s="500" t="s">
        <v>464</v>
      </c>
      <c r="G215" s="601">
        <f>(0.05*14)/2</f>
        <v>0.35000000000000003</v>
      </c>
      <c r="H215" s="580">
        <f t="shared" si="18"/>
        <v>746.1818181818182</v>
      </c>
      <c r="I215" s="580">
        <f>C215</f>
        <v>0.5</v>
      </c>
      <c r="J215" s="586">
        <v>0.52</v>
      </c>
      <c r="K215" s="556">
        <f t="shared" si="17"/>
        <v>1434.965034965035</v>
      </c>
      <c r="L215" s="556">
        <f t="shared" si="15"/>
        <v>0.9615384615384615</v>
      </c>
      <c r="M215" s="497">
        <f t="shared" si="16"/>
        <v>0.6730769230769231</v>
      </c>
      <c r="O215" s="613"/>
    </row>
    <row r="216" spans="1:15" ht="12.75">
      <c r="A216" s="522" t="s">
        <v>160</v>
      </c>
      <c r="B216" s="500"/>
      <c r="C216" s="498" t="s">
        <v>110</v>
      </c>
      <c r="D216" s="503"/>
      <c r="E216" s="498" t="s">
        <v>110</v>
      </c>
      <c r="F216" s="500"/>
      <c r="G216" s="601" t="s">
        <v>110</v>
      </c>
      <c r="H216" s="580"/>
      <c r="I216" s="580"/>
      <c r="J216" s="586"/>
      <c r="K216" s="556"/>
      <c r="L216" s="556"/>
      <c r="M216" s="497"/>
      <c r="O216" s="613"/>
    </row>
    <row r="217" spans="1:15" ht="12.75">
      <c r="A217" s="522" t="s">
        <v>161</v>
      </c>
      <c r="B217" s="500">
        <v>270.1</v>
      </c>
      <c r="C217" s="498">
        <f>B217/'Field recov'!R217</f>
        <v>360.1333333333334</v>
      </c>
      <c r="D217" s="503">
        <v>768.5</v>
      </c>
      <c r="E217" s="498">
        <f>D217/'Field recov'!S217</f>
        <v>873.2954545454545</v>
      </c>
      <c r="F217" s="500" t="s">
        <v>464</v>
      </c>
      <c r="G217" s="601">
        <f>(0.05*14)/2</f>
        <v>0.35000000000000003</v>
      </c>
      <c r="H217" s="580">
        <f t="shared" si="18"/>
        <v>1233.428787878788</v>
      </c>
      <c r="I217" s="580">
        <f>C217</f>
        <v>360.1333333333334</v>
      </c>
      <c r="J217" s="590">
        <v>0.968</v>
      </c>
      <c r="K217" s="556">
        <f t="shared" si="17"/>
        <v>1274.2032932632108</v>
      </c>
      <c r="L217" s="556">
        <f t="shared" si="15"/>
        <v>372.038567493113</v>
      </c>
      <c r="M217" s="497">
        <f t="shared" si="16"/>
        <v>0.36157024793388437</v>
      </c>
      <c r="O217" s="613"/>
    </row>
    <row r="218" spans="1:15" ht="12.75">
      <c r="A218" s="522" t="s">
        <v>162</v>
      </c>
      <c r="B218" s="500"/>
      <c r="C218" s="498" t="s">
        <v>110</v>
      </c>
      <c r="D218" s="503"/>
      <c r="E218" s="498" t="s">
        <v>110</v>
      </c>
      <c r="F218" s="500"/>
      <c r="G218" s="601" t="s">
        <v>110</v>
      </c>
      <c r="H218" s="580"/>
      <c r="I218" s="580"/>
      <c r="J218" s="586"/>
      <c r="K218" s="556"/>
      <c r="L218" s="556"/>
      <c r="M218" s="497"/>
      <c r="O218" s="613"/>
    </row>
    <row r="219" spans="1:15" ht="12.75">
      <c r="A219" s="522" t="s">
        <v>163</v>
      </c>
      <c r="B219" s="500">
        <v>3.77</v>
      </c>
      <c r="C219" s="498">
        <f>B219/'Field recov'!R219</f>
        <v>4.772151898734177</v>
      </c>
      <c r="D219" s="503">
        <v>904.6</v>
      </c>
      <c r="E219" s="498">
        <f>D219/'Field recov'!S219</f>
        <v>1027.9545454545455</v>
      </c>
      <c r="F219" s="500" t="s">
        <v>464</v>
      </c>
      <c r="G219" s="601">
        <f>(0.05*14)/2</f>
        <v>0.35000000000000003</v>
      </c>
      <c r="H219" s="580">
        <f t="shared" si="18"/>
        <v>1032.7266973532796</v>
      </c>
      <c r="I219" s="580">
        <f>C219</f>
        <v>4.772151898734177</v>
      </c>
      <c r="J219" s="590">
        <v>0.608</v>
      </c>
      <c r="K219" s="556">
        <f t="shared" si="17"/>
        <v>1698.563646962631</v>
      </c>
      <c r="L219" s="556">
        <f t="shared" si="15"/>
        <v>7.848934043970686</v>
      </c>
      <c r="M219" s="497">
        <f t="shared" si="16"/>
        <v>0.5756578947368421</v>
      </c>
      <c r="O219" s="613"/>
    </row>
    <row r="220" spans="1:15" ht="12.75">
      <c r="A220" s="522" t="s">
        <v>164</v>
      </c>
      <c r="B220" s="500"/>
      <c r="C220" s="498" t="s">
        <v>110</v>
      </c>
      <c r="D220" s="503"/>
      <c r="E220" s="498" t="s">
        <v>110</v>
      </c>
      <c r="F220" s="500"/>
      <c r="G220" s="601" t="s">
        <v>110</v>
      </c>
      <c r="H220" s="580"/>
      <c r="I220" s="580"/>
      <c r="J220" s="586"/>
      <c r="K220" s="556"/>
      <c r="L220" s="556"/>
      <c r="M220" s="497"/>
      <c r="O220" s="613"/>
    </row>
    <row r="221" spans="1:15" ht="12.75">
      <c r="A221" s="522" t="s">
        <v>165</v>
      </c>
      <c r="B221" s="500">
        <v>8.53</v>
      </c>
      <c r="C221" s="498">
        <f>B221/'Field recov'!R221</f>
        <v>10.797468354430379</v>
      </c>
      <c r="D221" s="503">
        <v>1553</v>
      </c>
      <c r="E221" s="498">
        <f>D221/'Field recov'!S221</f>
        <v>1764.7727272727273</v>
      </c>
      <c r="F221" s="500" t="s">
        <v>464</v>
      </c>
      <c r="G221" s="601">
        <f>(0.05*14)/2</f>
        <v>0.35000000000000003</v>
      </c>
      <c r="H221" s="580">
        <f t="shared" si="18"/>
        <v>1775.5701956271575</v>
      </c>
      <c r="I221" s="580">
        <f>C221</f>
        <v>10.797468354430379</v>
      </c>
      <c r="J221" s="591">
        <v>0.4575</v>
      </c>
      <c r="K221" s="556">
        <f t="shared" si="17"/>
        <v>3881.027750004716</v>
      </c>
      <c r="L221" s="556">
        <f t="shared" si="15"/>
        <v>23.601023725530883</v>
      </c>
      <c r="M221" s="497">
        <f t="shared" si="16"/>
        <v>0.7650273224043717</v>
      </c>
      <c r="O221" s="613"/>
    </row>
    <row r="222" spans="1:15" ht="12.75">
      <c r="A222" s="522" t="s">
        <v>166</v>
      </c>
      <c r="B222" s="500"/>
      <c r="C222" s="498" t="s">
        <v>110</v>
      </c>
      <c r="D222" s="503"/>
      <c r="E222" s="498" t="s">
        <v>110</v>
      </c>
      <c r="F222" s="500"/>
      <c r="G222" s="601" t="s">
        <v>110</v>
      </c>
      <c r="H222" s="580"/>
      <c r="I222" s="580"/>
      <c r="J222" s="586"/>
      <c r="K222" s="556"/>
      <c r="L222" s="556"/>
      <c r="M222" s="497"/>
      <c r="O222" s="613"/>
    </row>
    <row r="223" spans="1:15" ht="12.75">
      <c r="A223" s="522" t="s">
        <v>167</v>
      </c>
      <c r="B223" s="500">
        <v>267.9</v>
      </c>
      <c r="C223" s="498">
        <f>B223/'Field recov'!R223</f>
        <v>357.2</v>
      </c>
      <c r="D223" s="503">
        <v>5648</v>
      </c>
      <c r="E223" s="498">
        <f>D223/'Field recov'!S223</f>
        <v>6418.181818181818</v>
      </c>
      <c r="F223" s="500">
        <v>2.707</v>
      </c>
      <c r="G223" s="601">
        <f>(F223*14)/('Field recov'!U223*2)</f>
        <v>57.421212121212115</v>
      </c>
      <c r="H223" s="580">
        <f t="shared" si="18"/>
        <v>6775.381818181818</v>
      </c>
      <c r="I223" s="580">
        <f>C223</f>
        <v>357.2</v>
      </c>
      <c r="J223" s="591">
        <v>1.4025</v>
      </c>
      <c r="K223" s="556">
        <f t="shared" si="17"/>
        <v>4830.931777669745</v>
      </c>
      <c r="L223" s="556">
        <f t="shared" si="15"/>
        <v>254.6880570409982</v>
      </c>
      <c r="M223" s="497">
        <f t="shared" si="16"/>
        <v>40.94204072813698</v>
      </c>
      <c r="O223" s="613"/>
    </row>
    <row r="224" spans="1:15" ht="12.75">
      <c r="A224" s="522" t="s">
        <v>168</v>
      </c>
      <c r="B224" s="500"/>
      <c r="C224" s="498" t="s">
        <v>110</v>
      </c>
      <c r="D224" s="503"/>
      <c r="E224" s="498" t="s">
        <v>110</v>
      </c>
      <c r="F224" s="500"/>
      <c r="G224" s="601" t="s">
        <v>110</v>
      </c>
      <c r="H224" s="580"/>
      <c r="I224" s="580"/>
      <c r="J224" s="552"/>
      <c r="K224" s="556"/>
      <c r="L224" s="556"/>
      <c r="M224" s="497"/>
      <c r="O224" s="613"/>
    </row>
    <row r="225" spans="1:13" s="567" customFormat="1" ht="12.75">
      <c r="A225" s="505" t="s">
        <v>169</v>
      </c>
      <c r="B225" s="505"/>
      <c r="C225" s="529" t="s">
        <v>110</v>
      </c>
      <c r="D225" s="507"/>
      <c r="E225" s="529" t="s">
        <v>110</v>
      </c>
      <c r="F225" s="507"/>
      <c r="G225" s="600" t="s">
        <v>110</v>
      </c>
      <c r="H225" s="566"/>
      <c r="I225" s="566"/>
      <c r="J225" s="505"/>
      <c r="K225" s="592"/>
      <c r="L225" s="592"/>
      <c r="M225" s="557"/>
    </row>
    <row r="226" spans="1:13" ht="12.75">
      <c r="A226" s="500" t="s">
        <v>170</v>
      </c>
      <c r="B226" s="500"/>
      <c r="C226" s="498" t="s">
        <v>110</v>
      </c>
      <c r="D226" s="503"/>
      <c r="E226" s="498" t="s">
        <v>110</v>
      </c>
      <c r="F226" s="503"/>
      <c r="G226" s="601" t="s">
        <v>110</v>
      </c>
      <c r="H226" s="580"/>
      <c r="I226" s="580"/>
      <c r="J226" s="552"/>
      <c r="K226" s="556"/>
      <c r="L226" s="556"/>
      <c r="M226" s="497"/>
    </row>
    <row r="227" spans="1:13" ht="12.75">
      <c r="A227" s="500" t="s">
        <v>171</v>
      </c>
      <c r="B227" s="500"/>
      <c r="C227" s="498" t="s">
        <v>110</v>
      </c>
      <c r="D227" s="503"/>
      <c r="E227" s="498" t="s">
        <v>110</v>
      </c>
      <c r="F227" s="503"/>
      <c r="G227" s="601" t="s">
        <v>110</v>
      </c>
      <c r="H227" s="580"/>
      <c r="I227" s="580"/>
      <c r="J227" s="552"/>
      <c r="K227" s="556"/>
      <c r="L227" s="556"/>
      <c r="M227" s="497"/>
    </row>
    <row r="228" spans="1:13" ht="12.75">
      <c r="A228" s="500" t="s">
        <v>172</v>
      </c>
      <c r="B228" s="500"/>
      <c r="C228" s="498" t="s">
        <v>110</v>
      </c>
      <c r="D228" s="503"/>
      <c r="E228" s="498" t="s">
        <v>110</v>
      </c>
      <c r="F228" s="503"/>
      <c r="G228" s="601" t="s">
        <v>110</v>
      </c>
      <c r="H228" s="580"/>
      <c r="I228" s="580"/>
      <c r="J228" s="552"/>
      <c r="K228" s="556"/>
      <c r="L228" s="556"/>
      <c r="M228" s="497"/>
    </row>
    <row r="229" spans="1:13" ht="12.75">
      <c r="A229" s="500" t="s">
        <v>173</v>
      </c>
      <c r="B229" s="500"/>
      <c r="C229" s="498" t="s">
        <v>110</v>
      </c>
      <c r="D229" s="503"/>
      <c r="E229" s="498" t="s">
        <v>110</v>
      </c>
      <c r="F229" s="503"/>
      <c r="G229" s="601" t="s">
        <v>110</v>
      </c>
      <c r="H229" s="580"/>
      <c r="I229" s="580"/>
      <c r="J229" s="552"/>
      <c r="K229" s="556"/>
      <c r="L229" s="556"/>
      <c r="M229" s="497"/>
    </row>
    <row r="230" spans="1:13" ht="12.75">
      <c r="A230" s="500" t="s">
        <v>174</v>
      </c>
      <c r="B230" s="500"/>
      <c r="C230" s="498" t="s">
        <v>110</v>
      </c>
      <c r="D230" s="503"/>
      <c r="E230" s="498" t="s">
        <v>110</v>
      </c>
      <c r="F230" s="503"/>
      <c r="G230" s="601" t="s">
        <v>110</v>
      </c>
      <c r="H230" s="580"/>
      <c r="I230" s="580"/>
      <c r="J230" s="552"/>
      <c r="K230" s="556"/>
      <c r="L230" s="556"/>
      <c r="M230" s="497"/>
    </row>
    <row r="231" spans="1:13" ht="12.75">
      <c r="A231" s="500" t="s">
        <v>175</v>
      </c>
      <c r="B231" s="524"/>
      <c r="C231" s="498" t="s">
        <v>110</v>
      </c>
      <c r="D231" s="524"/>
      <c r="E231" s="498" t="s">
        <v>110</v>
      </c>
      <c r="F231" s="503"/>
      <c r="G231" s="601" t="s">
        <v>110</v>
      </c>
      <c r="H231" s="580"/>
      <c r="I231" s="580"/>
      <c r="J231" s="552"/>
      <c r="K231" s="556"/>
      <c r="L231" s="556"/>
      <c r="M231" s="497"/>
    </row>
    <row r="232" spans="1:13" ht="12.75">
      <c r="A232" s="500" t="s">
        <v>176</v>
      </c>
      <c r="B232" s="500"/>
      <c r="C232" s="498" t="s">
        <v>110</v>
      </c>
      <c r="D232" s="503"/>
      <c r="E232" s="498" t="s">
        <v>110</v>
      </c>
      <c r="F232" s="503"/>
      <c r="G232" s="601" t="s">
        <v>110</v>
      </c>
      <c r="H232" s="580"/>
      <c r="I232" s="580"/>
      <c r="J232" s="552"/>
      <c r="K232" s="556"/>
      <c r="L232" s="556"/>
      <c r="M232" s="497"/>
    </row>
    <row r="233" spans="1:13" ht="12.75">
      <c r="A233" s="500" t="s">
        <v>177</v>
      </c>
      <c r="B233" s="500"/>
      <c r="C233" s="498" t="s">
        <v>110</v>
      </c>
      <c r="D233" s="503"/>
      <c r="E233" s="498" t="s">
        <v>110</v>
      </c>
      <c r="F233" s="503"/>
      <c r="G233" s="601" t="s">
        <v>110</v>
      </c>
      <c r="H233" s="580"/>
      <c r="I233" s="580"/>
      <c r="J233" s="552"/>
      <c r="K233" s="556"/>
      <c r="L233" s="556"/>
      <c r="M233" s="497"/>
    </row>
    <row r="234" spans="1:13" ht="12.75">
      <c r="A234" s="500" t="s">
        <v>178</v>
      </c>
      <c r="B234" s="500"/>
      <c r="C234" s="498" t="s">
        <v>110</v>
      </c>
      <c r="D234" s="500"/>
      <c r="E234" s="498" t="s">
        <v>110</v>
      </c>
      <c r="F234" s="503"/>
      <c r="G234" s="601" t="s">
        <v>110</v>
      </c>
      <c r="H234" s="580"/>
      <c r="I234" s="580"/>
      <c r="J234" s="552"/>
      <c r="K234" s="556"/>
      <c r="L234" s="556"/>
      <c r="M234" s="497"/>
    </row>
    <row r="235" spans="1:13" ht="12.75">
      <c r="A235" s="500" t="s">
        <v>179</v>
      </c>
      <c r="B235" s="500"/>
      <c r="C235" s="498" t="s">
        <v>110</v>
      </c>
      <c r="D235" s="503"/>
      <c r="E235" s="498" t="s">
        <v>110</v>
      </c>
      <c r="F235" s="500"/>
      <c r="G235" s="601" t="s">
        <v>110</v>
      </c>
      <c r="H235" s="580"/>
      <c r="I235" s="580"/>
      <c r="J235" s="552"/>
      <c r="K235" s="556"/>
      <c r="L235" s="556"/>
      <c r="M235" s="497"/>
    </row>
    <row r="236" spans="1:13" ht="12.75">
      <c r="A236" s="500" t="s">
        <v>180</v>
      </c>
      <c r="B236" s="500"/>
      <c r="C236" s="498" t="s">
        <v>110</v>
      </c>
      <c r="D236" s="503"/>
      <c r="E236" s="498" t="s">
        <v>110</v>
      </c>
      <c r="F236" s="500"/>
      <c r="G236" s="601" t="s">
        <v>110</v>
      </c>
      <c r="H236" s="580"/>
      <c r="I236" s="580"/>
      <c r="J236" s="552"/>
      <c r="K236" s="556"/>
      <c r="L236" s="556"/>
      <c r="M236" s="497"/>
    </row>
    <row r="237" spans="1:13" ht="12.75">
      <c r="A237" s="500" t="s">
        <v>181</v>
      </c>
      <c r="B237" s="500"/>
      <c r="C237" s="498" t="s">
        <v>110</v>
      </c>
      <c r="D237" s="503"/>
      <c r="E237" s="498" t="s">
        <v>110</v>
      </c>
      <c r="F237" s="500"/>
      <c r="G237" s="601" t="s">
        <v>110</v>
      </c>
      <c r="H237" s="580"/>
      <c r="I237" s="580"/>
      <c r="J237" s="552"/>
      <c r="K237" s="556"/>
      <c r="L237" s="556"/>
      <c r="M237" s="497"/>
    </row>
    <row r="238" spans="1:13" ht="12.75">
      <c r="A238" s="500" t="s">
        <v>182</v>
      </c>
      <c r="B238" s="500"/>
      <c r="C238" s="498" t="s">
        <v>110</v>
      </c>
      <c r="D238" s="503"/>
      <c r="E238" s="498" t="s">
        <v>110</v>
      </c>
      <c r="F238" s="500"/>
      <c r="G238" s="601" t="s">
        <v>110</v>
      </c>
      <c r="H238" s="580"/>
      <c r="I238" s="580"/>
      <c r="J238" s="552"/>
      <c r="K238" s="556"/>
      <c r="L238" s="556"/>
      <c r="M238" s="497"/>
    </row>
    <row r="239" spans="1:13" ht="12.75">
      <c r="A239" s="500" t="s">
        <v>183</v>
      </c>
      <c r="B239" s="500"/>
      <c r="C239" s="498" t="s">
        <v>110</v>
      </c>
      <c r="D239" s="503"/>
      <c r="E239" s="498" t="s">
        <v>110</v>
      </c>
      <c r="F239" s="500"/>
      <c r="G239" s="601" t="s">
        <v>110</v>
      </c>
      <c r="H239" s="580"/>
      <c r="I239" s="580"/>
      <c r="J239" s="552"/>
      <c r="K239" s="556"/>
      <c r="L239" s="556"/>
      <c r="M239" s="497"/>
    </row>
    <row r="240" spans="1:13" ht="12.75">
      <c r="A240" s="500" t="s">
        <v>184</v>
      </c>
      <c r="B240" s="500"/>
      <c r="C240" s="498" t="s">
        <v>110</v>
      </c>
      <c r="D240" s="503"/>
      <c r="E240" s="498" t="s">
        <v>110</v>
      </c>
      <c r="F240" s="500"/>
      <c r="G240" s="601" t="s">
        <v>110</v>
      </c>
      <c r="H240" s="580"/>
      <c r="I240" s="580"/>
      <c r="J240" s="552"/>
      <c r="K240" s="556"/>
      <c r="L240" s="556"/>
      <c r="M240" s="497"/>
    </row>
    <row r="241" spans="1:13" ht="12.75">
      <c r="A241" s="500" t="s">
        <v>185</v>
      </c>
      <c r="B241" s="500"/>
      <c r="C241" s="498" t="s">
        <v>110</v>
      </c>
      <c r="D241" s="503"/>
      <c r="E241" s="498" t="s">
        <v>110</v>
      </c>
      <c r="F241" s="500"/>
      <c r="G241" s="601" t="s">
        <v>110</v>
      </c>
      <c r="H241" s="580"/>
      <c r="I241" s="580"/>
      <c r="J241" s="552"/>
      <c r="K241" s="556"/>
      <c r="L241" s="556"/>
      <c r="M241" s="497"/>
    </row>
    <row r="242" spans="1:13" ht="12.75">
      <c r="A242" s="500" t="s">
        <v>186</v>
      </c>
      <c r="B242" s="500"/>
      <c r="C242" s="498" t="s">
        <v>110</v>
      </c>
      <c r="D242" s="503"/>
      <c r="E242" s="498" t="s">
        <v>110</v>
      </c>
      <c r="F242" s="500"/>
      <c r="G242" s="601" t="s">
        <v>110</v>
      </c>
      <c r="H242" s="580"/>
      <c r="I242" s="580"/>
      <c r="J242" s="552"/>
      <c r="K242" s="556"/>
      <c r="L242" s="556"/>
      <c r="M242" s="497"/>
    </row>
    <row r="243" spans="1:13" ht="12.75">
      <c r="A243" s="500" t="s">
        <v>187</v>
      </c>
      <c r="B243" s="500"/>
      <c r="C243" s="498" t="s">
        <v>110</v>
      </c>
      <c r="D243" s="503"/>
      <c r="E243" s="498" t="s">
        <v>110</v>
      </c>
      <c r="F243" s="500"/>
      <c r="G243" s="601" t="s">
        <v>110</v>
      </c>
      <c r="H243" s="580"/>
      <c r="I243" s="580"/>
      <c r="J243" s="552"/>
      <c r="K243" s="556"/>
      <c r="L243" s="556"/>
      <c r="M243" s="497"/>
    </row>
    <row r="244" spans="1:13" ht="12.75">
      <c r="A244" s="500" t="s">
        <v>188</v>
      </c>
      <c r="B244" s="500"/>
      <c r="C244" s="498" t="s">
        <v>110</v>
      </c>
      <c r="D244" s="503"/>
      <c r="E244" s="498" t="s">
        <v>110</v>
      </c>
      <c r="F244" s="500"/>
      <c r="G244" s="601" t="s">
        <v>110</v>
      </c>
      <c r="H244" s="580"/>
      <c r="I244" s="580"/>
      <c r="J244" s="552"/>
      <c r="K244" s="556"/>
      <c r="L244" s="556"/>
      <c r="M244" s="497"/>
    </row>
    <row r="245" spans="1:15" ht="12.75">
      <c r="A245" s="500" t="s">
        <v>189</v>
      </c>
      <c r="B245" s="500">
        <v>2.318</v>
      </c>
      <c r="C245" s="498">
        <f>B245/'Field recov'!R245</f>
        <v>2.4924731182795696</v>
      </c>
      <c r="D245" s="503">
        <v>5973</v>
      </c>
      <c r="E245" s="498">
        <f>D245/'Field recov'!S245</f>
        <v>6422.58064516129</v>
      </c>
      <c r="F245" s="500">
        <v>0.3005</v>
      </c>
      <c r="G245" s="601">
        <f>(F245*14)/('Field recov'!U245*2)</f>
        <v>2.1035</v>
      </c>
      <c r="H245" s="580">
        <f t="shared" si="18"/>
        <v>6425.073118279569</v>
      </c>
      <c r="I245" s="580">
        <f aca="true" t="shared" si="19" ref="I245:I264">C245</f>
        <v>2.4924731182795696</v>
      </c>
      <c r="J245" s="552">
        <v>0.0375</v>
      </c>
      <c r="K245" s="556">
        <f>H245/J245</f>
        <v>171335.28315412183</v>
      </c>
      <c r="L245" s="556">
        <f>I245/$J245</f>
        <v>66.46594982078852</v>
      </c>
      <c r="M245" s="497">
        <f aca="true" t="shared" si="20" ref="M245:M264">G245/J245</f>
        <v>56.093333333333334</v>
      </c>
      <c r="O245" s="617"/>
    </row>
    <row r="246" spans="1:15" ht="12.75">
      <c r="A246" s="500" t="s">
        <v>190</v>
      </c>
      <c r="B246" s="500">
        <v>3.544</v>
      </c>
      <c r="C246" s="498">
        <f>B246/'Field recov'!R246</f>
        <v>3.810752688172043</v>
      </c>
      <c r="D246" s="503">
        <v>2126</v>
      </c>
      <c r="E246" s="498">
        <f>D246/'Field recov'!S246</f>
        <v>2286.021505376344</v>
      </c>
      <c r="F246" s="500">
        <v>0.759</v>
      </c>
      <c r="G246" s="601">
        <f>(F246*14)/('Field recov'!U246*2)</f>
        <v>5.313</v>
      </c>
      <c r="H246" s="580">
        <f t="shared" si="18"/>
        <v>2289.8322580645163</v>
      </c>
      <c r="I246" s="580">
        <f t="shared" si="19"/>
        <v>3.810752688172043</v>
      </c>
      <c r="J246" s="552">
        <v>0.0675</v>
      </c>
      <c r="K246" s="556">
        <f aca="true" t="shared" si="21" ref="K246:K264">H246/J246</f>
        <v>33923.44086021505</v>
      </c>
      <c r="L246" s="556">
        <f aca="true" t="shared" si="22" ref="L246:L264">I246/$J246</f>
        <v>56.45559538032656</v>
      </c>
      <c r="M246" s="497">
        <f t="shared" si="20"/>
        <v>78.71111111111111</v>
      </c>
      <c r="O246" s="617"/>
    </row>
    <row r="247" spans="1:15" ht="12.75">
      <c r="A247" s="500" t="s">
        <v>191</v>
      </c>
      <c r="B247" s="500">
        <v>1.868</v>
      </c>
      <c r="C247" s="498">
        <f>B247/'Field recov'!R247</f>
        <v>2.0086021505376346</v>
      </c>
      <c r="D247" s="503">
        <v>1489</v>
      </c>
      <c r="E247" s="498">
        <f>D247/'Field recov'!S247</f>
        <v>1601.0752688172042</v>
      </c>
      <c r="F247" s="500">
        <v>0.5643999999999999</v>
      </c>
      <c r="G247" s="601">
        <f>(F247*14)/('Field recov'!U247*2)</f>
        <v>3.950799999999999</v>
      </c>
      <c r="H247" s="580">
        <f t="shared" si="18"/>
        <v>1603.0838709677419</v>
      </c>
      <c r="I247" s="580">
        <f t="shared" si="19"/>
        <v>2.0086021505376346</v>
      </c>
      <c r="J247" s="552">
        <v>0.059</v>
      </c>
      <c r="K247" s="556">
        <f t="shared" si="21"/>
        <v>27170.913067249865</v>
      </c>
      <c r="L247" s="556">
        <f t="shared" si="22"/>
        <v>34.044104246400586</v>
      </c>
      <c r="M247" s="497">
        <f t="shared" si="20"/>
        <v>66.96271186440677</v>
      </c>
      <c r="O247" s="617"/>
    </row>
    <row r="248" spans="1:15" ht="12.75">
      <c r="A248" s="500" t="s">
        <v>192</v>
      </c>
      <c r="B248" s="500">
        <v>3.128</v>
      </c>
      <c r="C248" s="498">
        <f>B248/'Field recov'!R248</f>
        <v>3.3634408602150536</v>
      </c>
      <c r="D248" s="500">
        <v>2403</v>
      </c>
      <c r="E248" s="498">
        <f>D248/'Field recov'!S248</f>
        <v>2583.870967741935</v>
      </c>
      <c r="F248" s="500">
        <v>0.5828</v>
      </c>
      <c r="G248" s="601">
        <f>(F248*14)/('Field recov'!U248*2)</f>
        <v>4.0796</v>
      </c>
      <c r="H248" s="580">
        <f t="shared" si="18"/>
        <v>2587.2344086021503</v>
      </c>
      <c r="I248" s="580">
        <f t="shared" si="19"/>
        <v>3.3634408602150536</v>
      </c>
      <c r="J248" s="552">
        <v>0.0675</v>
      </c>
      <c r="K248" s="556">
        <f t="shared" si="21"/>
        <v>38329.39864595778</v>
      </c>
      <c r="L248" s="556">
        <f t="shared" si="22"/>
        <v>49.82875348466746</v>
      </c>
      <c r="M248" s="497">
        <f t="shared" si="20"/>
        <v>60.438518518518514</v>
      </c>
      <c r="O248" s="617"/>
    </row>
    <row r="249" spans="1:15" ht="12.75">
      <c r="A249" s="500" t="s">
        <v>193</v>
      </c>
      <c r="B249" s="503">
        <v>99.35</v>
      </c>
      <c r="C249" s="498">
        <f>B249/'Field recov'!R249</f>
        <v>106.8279569892473</v>
      </c>
      <c r="D249" s="503">
        <v>12050</v>
      </c>
      <c r="E249" s="498">
        <f>D249/'Field recov'!S249</f>
        <v>12956.989247311827</v>
      </c>
      <c r="F249" s="500">
        <v>3.106</v>
      </c>
      <c r="G249" s="601">
        <f>(F249*14)/('Field recov'!U249*1.95)</f>
        <v>22.299487179487176</v>
      </c>
      <c r="H249" s="580">
        <f t="shared" si="18"/>
        <v>13063.817204301075</v>
      </c>
      <c r="I249" s="580">
        <f t="shared" si="19"/>
        <v>106.8279569892473</v>
      </c>
      <c r="J249" s="552">
        <v>0.075</v>
      </c>
      <c r="K249" s="556">
        <f t="shared" si="21"/>
        <v>174184.229390681</v>
      </c>
      <c r="L249" s="556">
        <f t="shared" si="22"/>
        <v>1424.3727598566306</v>
      </c>
      <c r="M249" s="497">
        <f t="shared" si="20"/>
        <v>297.3264957264957</v>
      </c>
      <c r="O249" s="617"/>
    </row>
    <row r="250" spans="1:15" ht="12.75">
      <c r="A250" s="500" t="s">
        <v>194</v>
      </c>
      <c r="B250" s="503">
        <v>111.7</v>
      </c>
      <c r="C250" s="498">
        <f>B250/'Field recov'!R250</f>
        <v>120.10752688172043</v>
      </c>
      <c r="D250" s="500">
        <v>8258</v>
      </c>
      <c r="E250" s="498">
        <f>D250/'Field recov'!S250</f>
        <v>8879.569892473119</v>
      </c>
      <c r="F250" s="500">
        <v>0.395</v>
      </c>
      <c r="G250" s="601">
        <f>(F250*14)/('Field recov'!U250*2)</f>
        <v>2.765</v>
      </c>
      <c r="H250" s="580">
        <f t="shared" si="18"/>
        <v>8999.677419354839</v>
      </c>
      <c r="I250" s="580">
        <f t="shared" si="19"/>
        <v>120.10752688172043</v>
      </c>
      <c r="J250" s="552">
        <v>0.075</v>
      </c>
      <c r="K250" s="556">
        <f t="shared" si="21"/>
        <v>119995.69892473119</v>
      </c>
      <c r="L250" s="556">
        <f t="shared" si="22"/>
        <v>1601.4336917562725</v>
      </c>
      <c r="M250" s="497">
        <f t="shared" si="20"/>
        <v>36.86666666666667</v>
      </c>
      <c r="O250" s="617"/>
    </row>
    <row r="251" spans="1:15" ht="12.75">
      <c r="A251" s="500" t="s">
        <v>195</v>
      </c>
      <c r="B251" s="503">
        <v>3.9370000000000003</v>
      </c>
      <c r="C251" s="498">
        <f>B251/'Field recov'!R251</f>
        <v>4.233333333333333</v>
      </c>
      <c r="D251" s="500">
        <v>762.1</v>
      </c>
      <c r="E251" s="498">
        <f>D251/'Field recov'!S251</f>
        <v>819.4623655913979</v>
      </c>
      <c r="F251" s="500">
        <v>2.593</v>
      </c>
      <c r="G251" s="601">
        <f>(F251*14)/('Field recov'!U251*1.95)</f>
        <v>18.616410256410255</v>
      </c>
      <c r="H251" s="580">
        <f t="shared" si="18"/>
        <v>823.6956989247312</v>
      </c>
      <c r="I251" s="580">
        <f t="shared" si="19"/>
        <v>4.233333333333333</v>
      </c>
      <c r="J251" s="552">
        <v>0.075</v>
      </c>
      <c r="K251" s="556">
        <f t="shared" si="21"/>
        <v>10982.609318996418</v>
      </c>
      <c r="L251" s="556">
        <f t="shared" si="22"/>
        <v>56.44444444444445</v>
      </c>
      <c r="M251" s="497">
        <f t="shared" si="20"/>
        <v>248.21880341880342</v>
      </c>
      <c r="O251" s="617"/>
    </row>
    <row r="252" spans="1:15" ht="12.75">
      <c r="A252" s="500" t="s">
        <v>196</v>
      </c>
      <c r="B252" s="503">
        <v>2.924</v>
      </c>
      <c r="C252" s="498">
        <f>B252/'Field recov'!R252</f>
        <v>3.1440860215053763</v>
      </c>
      <c r="D252" s="500">
        <v>1764</v>
      </c>
      <c r="E252" s="498">
        <f>D252/'Field recov'!S252</f>
        <v>1896.774193548387</v>
      </c>
      <c r="F252" s="500">
        <v>0.2628</v>
      </c>
      <c r="G252" s="601">
        <f>(F252*14)/('Field recov'!U252*1.95)</f>
        <v>1.8867692307692308</v>
      </c>
      <c r="H252" s="580">
        <f t="shared" si="18"/>
        <v>1899.9182795698925</v>
      </c>
      <c r="I252" s="580">
        <f t="shared" si="19"/>
        <v>3.1440860215053763</v>
      </c>
      <c r="J252" s="552">
        <v>0.0375</v>
      </c>
      <c r="K252" s="556">
        <f t="shared" si="21"/>
        <v>50664.48745519714</v>
      </c>
      <c r="L252" s="556">
        <f t="shared" si="22"/>
        <v>83.84229390681004</v>
      </c>
      <c r="M252" s="497">
        <f t="shared" si="20"/>
        <v>50.31384615384616</v>
      </c>
      <c r="O252" s="617"/>
    </row>
    <row r="253" spans="1:15" ht="12.75">
      <c r="A253" s="500" t="s">
        <v>197</v>
      </c>
      <c r="B253" s="503">
        <v>7.237</v>
      </c>
      <c r="C253" s="498">
        <f>B253/'Field recov'!R253</f>
        <v>7.7817204301075265</v>
      </c>
      <c r="D253" s="500">
        <v>1733</v>
      </c>
      <c r="E253" s="498">
        <f>D253/'Field recov'!S253</f>
        <v>1863.4408602150536</v>
      </c>
      <c r="F253" s="500">
        <v>0.15569999999999998</v>
      </c>
      <c r="G253" s="601">
        <f>(F253*14)/('Field recov'!U253*2)</f>
        <v>1.0898999999999999</v>
      </c>
      <c r="H253" s="580">
        <f t="shared" si="18"/>
        <v>1871.222580645161</v>
      </c>
      <c r="I253" s="580">
        <f t="shared" si="19"/>
        <v>7.7817204301075265</v>
      </c>
      <c r="J253" s="552">
        <v>0.075</v>
      </c>
      <c r="K253" s="556">
        <f t="shared" si="21"/>
        <v>24949.63440860215</v>
      </c>
      <c r="L253" s="556">
        <f t="shared" si="22"/>
        <v>103.75627240143369</v>
      </c>
      <c r="M253" s="497">
        <f t="shared" si="20"/>
        <v>14.531999999999998</v>
      </c>
      <c r="O253" s="617"/>
    </row>
    <row r="254" spans="1:15" ht="12.75">
      <c r="A254" s="500" t="s">
        <v>198</v>
      </c>
      <c r="B254" s="503">
        <v>2.399</v>
      </c>
      <c r="C254" s="498">
        <f>B254/'Field recov'!R254</f>
        <v>2.5795698924731183</v>
      </c>
      <c r="D254" s="500">
        <v>14720</v>
      </c>
      <c r="E254" s="498">
        <f>D254/'Field recov'!S254</f>
        <v>15827.956989247312</v>
      </c>
      <c r="F254" s="500">
        <v>0.6666000000000001</v>
      </c>
      <c r="G254" s="601">
        <f>(F254*14)/('Field recov'!U254*1.95)</f>
        <v>4.785846153846155</v>
      </c>
      <c r="H254" s="580">
        <f t="shared" si="18"/>
        <v>15830.536559139786</v>
      </c>
      <c r="I254" s="580">
        <f t="shared" si="19"/>
        <v>2.5795698924731183</v>
      </c>
      <c r="J254" s="552">
        <v>0.0375</v>
      </c>
      <c r="K254" s="556">
        <f t="shared" si="21"/>
        <v>422147.641577061</v>
      </c>
      <c r="L254" s="556">
        <f t="shared" si="22"/>
        <v>68.78853046594982</v>
      </c>
      <c r="M254" s="497">
        <f t="shared" si="20"/>
        <v>127.62256410256413</v>
      </c>
      <c r="O254" s="617"/>
    </row>
    <row r="255" spans="1:15" ht="12.75">
      <c r="A255" s="500" t="s">
        <v>199</v>
      </c>
      <c r="B255" s="503">
        <v>3.022</v>
      </c>
      <c r="C255" s="498">
        <f>B255/'Field recov'!R255</f>
        <v>3.2494623655913975</v>
      </c>
      <c r="D255" s="500">
        <v>2068</v>
      </c>
      <c r="E255" s="498">
        <f>D255/'Field recov'!S255</f>
        <v>2223.6559139784945</v>
      </c>
      <c r="F255" s="500">
        <v>0.1775</v>
      </c>
      <c r="G255" s="601">
        <f>(F255*14)/('Field recov'!U255*2)</f>
        <v>1.2425</v>
      </c>
      <c r="H255" s="580">
        <f t="shared" si="18"/>
        <v>2226.9053763440857</v>
      </c>
      <c r="I255" s="580">
        <f t="shared" si="19"/>
        <v>3.2494623655913975</v>
      </c>
      <c r="J255" s="552">
        <v>0.0563</v>
      </c>
      <c r="K255" s="556">
        <f t="shared" si="21"/>
        <v>39554.26956206191</v>
      </c>
      <c r="L255" s="556">
        <f t="shared" si="22"/>
        <v>57.716915907484854</v>
      </c>
      <c r="M255" s="497">
        <f t="shared" si="20"/>
        <v>22.069271758436944</v>
      </c>
      <c r="O255" s="617"/>
    </row>
    <row r="256" spans="1:15" ht="12.75">
      <c r="A256" s="500" t="s">
        <v>200</v>
      </c>
      <c r="B256" s="503">
        <v>3.015</v>
      </c>
      <c r="C256" s="498">
        <f>B256/'Field recov'!R256</f>
        <v>3.2419354838709675</v>
      </c>
      <c r="D256" s="500">
        <v>914.6</v>
      </c>
      <c r="E256" s="498">
        <f>D256/'Field recov'!S256</f>
        <v>983.4408602150537</v>
      </c>
      <c r="F256" s="500">
        <v>0.527</v>
      </c>
      <c r="G256" s="601">
        <f>(F256*14)/('Field recov'!U256*2)</f>
        <v>3.689</v>
      </c>
      <c r="H256" s="580">
        <f t="shared" si="18"/>
        <v>986.6827956989247</v>
      </c>
      <c r="I256" s="580">
        <f t="shared" si="19"/>
        <v>3.2419354838709675</v>
      </c>
      <c r="J256" s="552">
        <v>0.0563</v>
      </c>
      <c r="K256" s="556">
        <f t="shared" si="21"/>
        <v>17525.449301934717</v>
      </c>
      <c r="L256" s="556">
        <f t="shared" si="22"/>
        <v>57.583223514582016</v>
      </c>
      <c r="M256" s="497">
        <f t="shared" si="20"/>
        <v>65.52397868561279</v>
      </c>
      <c r="O256" s="617"/>
    </row>
    <row r="257" spans="1:15" ht="12.75">
      <c r="A257" s="500" t="s">
        <v>201</v>
      </c>
      <c r="B257" s="576">
        <v>9.34</v>
      </c>
      <c r="C257" s="498">
        <f>B257/'Field recov'!R257</f>
        <v>10.043010752688172</v>
      </c>
      <c r="D257" s="500">
        <v>1117</v>
      </c>
      <c r="E257" s="498">
        <f>D257/'Field recov'!S257</f>
        <v>1201.0752688172042</v>
      </c>
      <c r="F257" s="500">
        <v>0.2817</v>
      </c>
      <c r="G257" s="601">
        <f>(F257*14)/('Field recov'!U257*2)</f>
        <v>1.9719</v>
      </c>
      <c r="H257" s="580">
        <f t="shared" si="18"/>
        <v>1211.1182795698924</v>
      </c>
      <c r="I257" s="580">
        <f t="shared" si="19"/>
        <v>10.043010752688172</v>
      </c>
      <c r="J257" s="552">
        <v>0.0375</v>
      </c>
      <c r="K257" s="556">
        <f t="shared" si="21"/>
        <v>32296.48745519713</v>
      </c>
      <c r="L257" s="556">
        <f t="shared" si="22"/>
        <v>267.8136200716846</v>
      </c>
      <c r="M257" s="497">
        <f t="shared" si="20"/>
        <v>52.584</v>
      </c>
      <c r="O257" s="617"/>
    </row>
    <row r="258" spans="1:15" ht="12.75">
      <c r="A258" s="500" t="s">
        <v>202</v>
      </c>
      <c r="B258" s="503">
        <v>2.825</v>
      </c>
      <c r="C258" s="498">
        <f>B258/'Field recov'!R258</f>
        <v>3.0376344086021505</v>
      </c>
      <c r="D258" s="500">
        <v>1805</v>
      </c>
      <c r="E258" s="498">
        <f>D258/'Field recov'!S258</f>
        <v>1940.8602150537633</v>
      </c>
      <c r="F258" s="500">
        <v>0.015</v>
      </c>
      <c r="G258" s="601">
        <f>(F258*14)/('Field recov'!U258*2)</f>
        <v>0.105</v>
      </c>
      <c r="H258" s="580">
        <f t="shared" si="18"/>
        <v>1943.8978494623655</v>
      </c>
      <c r="I258" s="580">
        <f t="shared" si="19"/>
        <v>3.0376344086021505</v>
      </c>
      <c r="J258" s="552">
        <v>0.0338</v>
      </c>
      <c r="K258" s="556">
        <f t="shared" si="21"/>
        <v>57511.77069415283</v>
      </c>
      <c r="L258" s="556">
        <f t="shared" si="22"/>
        <v>89.87084049118789</v>
      </c>
      <c r="M258" s="497">
        <f t="shared" si="20"/>
        <v>3.106508875739645</v>
      </c>
      <c r="O258" s="617"/>
    </row>
    <row r="259" spans="1:15" ht="12.75">
      <c r="A259" s="500" t="s">
        <v>203</v>
      </c>
      <c r="B259" s="503">
        <v>2.814</v>
      </c>
      <c r="C259" s="498">
        <f>B259/'Field recov'!R259</f>
        <v>3.0258064516129033</v>
      </c>
      <c r="D259" s="500">
        <v>2768</v>
      </c>
      <c r="E259" s="498">
        <f>D259/'Field recov'!S259</f>
        <v>2976.344086021505</v>
      </c>
      <c r="F259" s="500">
        <v>0.01627</v>
      </c>
      <c r="G259" s="601">
        <f>(F259*14)/('Field recov'!U259*1.95)</f>
        <v>0.1168102564102564</v>
      </c>
      <c r="H259" s="580">
        <f t="shared" si="18"/>
        <v>2979.369892473118</v>
      </c>
      <c r="I259" s="580">
        <f t="shared" si="19"/>
        <v>3.0258064516129033</v>
      </c>
      <c r="J259" s="552">
        <v>0.075</v>
      </c>
      <c r="K259" s="556">
        <f t="shared" si="21"/>
        <v>39724.931899641575</v>
      </c>
      <c r="L259" s="556">
        <f t="shared" si="22"/>
        <v>40.344086021505376</v>
      </c>
      <c r="M259" s="497">
        <f t="shared" si="20"/>
        <v>1.5574700854700854</v>
      </c>
      <c r="O259" s="617"/>
    </row>
    <row r="260" spans="1:15" ht="12.75">
      <c r="A260" s="500" t="s">
        <v>204</v>
      </c>
      <c r="B260" s="503">
        <v>50.05</v>
      </c>
      <c r="C260" s="498">
        <f>B260/'Field recov'!R260</f>
        <v>53.817204301075265</v>
      </c>
      <c r="D260" s="500">
        <v>3073</v>
      </c>
      <c r="E260" s="498">
        <f>D260/'Field recov'!S260</f>
        <v>3304.301075268817</v>
      </c>
      <c r="F260" s="500">
        <v>1.469</v>
      </c>
      <c r="G260" s="601">
        <f>(F260*14)/('Field recov'!U260*1.95)</f>
        <v>10.546666666666669</v>
      </c>
      <c r="H260" s="580">
        <f t="shared" si="18"/>
        <v>3358.1182795698924</v>
      </c>
      <c r="I260" s="580">
        <f t="shared" si="19"/>
        <v>53.817204301075265</v>
      </c>
      <c r="J260" s="552">
        <v>0.0375</v>
      </c>
      <c r="K260" s="556">
        <f t="shared" si="21"/>
        <v>89549.82078853047</v>
      </c>
      <c r="L260" s="556">
        <f t="shared" si="22"/>
        <v>1435.1254480286739</v>
      </c>
      <c r="M260" s="497">
        <f t="shared" si="20"/>
        <v>281.2444444444445</v>
      </c>
      <c r="O260" s="617"/>
    </row>
    <row r="261" spans="1:15" ht="12.75">
      <c r="A261" s="500" t="s">
        <v>205</v>
      </c>
      <c r="B261" s="576">
        <v>3.53</v>
      </c>
      <c r="C261" s="498">
        <f>B261/'Field recov'!R261</f>
        <v>3.7956989247311825</v>
      </c>
      <c r="D261" s="500">
        <v>927.8</v>
      </c>
      <c r="E261" s="498">
        <f>D261/'Field recov'!S261</f>
        <v>997.6344086021504</v>
      </c>
      <c r="F261" s="500">
        <v>0.2529</v>
      </c>
      <c r="G261" s="601">
        <f>(F261*14)/('Field recov'!U261*2)</f>
        <v>1.7703000000000002</v>
      </c>
      <c r="H261" s="580">
        <f t="shared" si="18"/>
        <v>1001.4301075268816</v>
      </c>
      <c r="I261" s="580">
        <f t="shared" si="19"/>
        <v>3.7956989247311825</v>
      </c>
      <c r="J261" s="552">
        <v>0.0294</v>
      </c>
      <c r="K261" s="556">
        <f t="shared" si="21"/>
        <v>34062.24855533611</v>
      </c>
      <c r="L261" s="556">
        <f t="shared" si="22"/>
        <v>129.10540560310145</v>
      </c>
      <c r="M261" s="497">
        <f t="shared" si="20"/>
        <v>60.21428571428572</v>
      </c>
      <c r="O261" s="617"/>
    </row>
    <row r="262" spans="1:15" ht="12.75">
      <c r="A262" s="500" t="s">
        <v>206</v>
      </c>
      <c r="B262" s="503">
        <v>18.56</v>
      </c>
      <c r="C262" s="498">
        <f>B262/'Field recov'!R262</f>
        <v>19.956989247311824</v>
      </c>
      <c r="D262" s="500">
        <v>2229</v>
      </c>
      <c r="E262" s="498">
        <f>D262/'Field recov'!S262</f>
        <v>2396.774193548387</v>
      </c>
      <c r="F262" s="500">
        <v>0.8704000000000001</v>
      </c>
      <c r="G262" s="601">
        <f>(F262*14)/('Field recov'!U262*2)</f>
        <v>6.0928</v>
      </c>
      <c r="H262" s="580">
        <f t="shared" si="18"/>
        <v>2416.7311827956987</v>
      </c>
      <c r="I262" s="580">
        <f t="shared" si="19"/>
        <v>19.956989247311824</v>
      </c>
      <c r="J262" s="552">
        <v>0.0675</v>
      </c>
      <c r="K262" s="556">
        <f t="shared" si="21"/>
        <v>35803.424930306646</v>
      </c>
      <c r="L262" s="556">
        <f t="shared" si="22"/>
        <v>295.6590999601752</v>
      </c>
      <c r="M262" s="497">
        <f t="shared" si="20"/>
        <v>90.2637037037037</v>
      </c>
      <c r="O262" s="617"/>
    </row>
    <row r="263" spans="1:15" ht="12.75">
      <c r="A263" s="500" t="s">
        <v>207</v>
      </c>
      <c r="B263" s="503">
        <v>1.143</v>
      </c>
      <c r="C263" s="498">
        <f>B263/'Field recov'!R263</f>
        <v>1.229032258064516</v>
      </c>
      <c r="D263" s="500">
        <v>738.3</v>
      </c>
      <c r="E263" s="498">
        <f>D263/'Field recov'!S263</f>
        <v>793.8709677419354</v>
      </c>
      <c r="F263" s="500">
        <v>0.2374</v>
      </c>
      <c r="G263" s="601">
        <f>(F263*14)/('Field recov'!U263*2)</f>
        <v>1.6618</v>
      </c>
      <c r="H263" s="580">
        <f t="shared" si="18"/>
        <v>795.0999999999999</v>
      </c>
      <c r="I263" s="580">
        <f t="shared" si="19"/>
        <v>1.229032258064516</v>
      </c>
      <c r="J263" s="552">
        <v>0.0375</v>
      </c>
      <c r="K263" s="556">
        <f t="shared" si="21"/>
        <v>21202.666666666664</v>
      </c>
      <c r="L263" s="556">
        <f t="shared" si="22"/>
        <v>32.774193548387096</v>
      </c>
      <c r="M263" s="497">
        <f t="shared" si="20"/>
        <v>44.31466666666667</v>
      </c>
      <c r="O263" s="617"/>
    </row>
    <row r="264" spans="1:15" ht="12.75">
      <c r="A264" s="500" t="s">
        <v>208</v>
      </c>
      <c r="B264" s="503">
        <v>0.8836</v>
      </c>
      <c r="C264" s="498">
        <f>B264/'Field recov'!R264</f>
        <v>0.9501075268817204</v>
      </c>
      <c r="D264" s="500">
        <v>9849</v>
      </c>
      <c r="E264" s="498">
        <f>D264/'Field recov'!S264</f>
        <v>10590.322580645161</v>
      </c>
      <c r="F264" s="500">
        <v>0.29540000000000005</v>
      </c>
      <c r="G264" s="601">
        <f>(F264*14)/('Field recov'!U264*2)</f>
        <v>2.0678000000000005</v>
      </c>
      <c r="H264" s="580">
        <f t="shared" si="18"/>
        <v>10591.272688172043</v>
      </c>
      <c r="I264" s="580">
        <f t="shared" si="19"/>
        <v>0.9501075268817204</v>
      </c>
      <c r="J264" s="552">
        <v>0.0338</v>
      </c>
      <c r="K264" s="556">
        <f t="shared" si="21"/>
        <v>313351.26296366996</v>
      </c>
      <c r="L264" s="556">
        <f t="shared" si="22"/>
        <v>28.1096901444296</v>
      </c>
      <c r="M264" s="497">
        <f t="shared" si="20"/>
        <v>61.17751479289943</v>
      </c>
      <c r="O264" s="617"/>
    </row>
    <row r="265" spans="1:13" s="567" customFormat="1" ht="12.75">
      <c r="A265" s="539" t="s">
        <v>566</v>
      </c>
      <c r="C265" s="577"/>
      <c r="E265" s="577"/>
      <c r="G265" s="578"/>
      <c r="H265" s="577"/>
      <c r="I265" s="566"/>
      <c r="J265" s="583"/>
      <c r="K265" s="579"/>
      <c r="L265" s="583"/>
      <c r="M265" s="579"/>
    </row>
    <row r="266" spans="1:9" ht="12.75">
      <c r="A266" s="522" t="s">
        <v>567</v>
      </c>
      <c r="I266" s="580"/>
    </row>
    <row r="267" spans="1:9" ht="12.75">
      <c r="A267" s="522" t="s">
        <v>568</v>
      </c>
      <c r="I267" s="580"/>
    </row>
    <row r="268" spans="1:9" ht="12.75">
      <c r="A268" s="522" t="s">
        <v>569</v>
      </c>
      <c r="I268" s="580"/>
    </row>
    <row r="269" spans="1:9" ht="12.75">
      <c r="A269" s="522" t="s">
        <v>570</v>
      </c>
      <c r="I269" s="580"/>
    </row>
    <row r="270" spans="1:9" ht="12.75">
      <c r="A270" s="522" t="s">
        <v>571</v>
      </c>
      <c r="I270" s="580"/>
    </row>
    <row r="271" spans="1:9" ht="12.75">
      <c r="A271" s="522" t="s">
        <v>572</v>
      </c>
      <c r="I271" s="580"/>
    </row>
    <row r="272" spans="1:9" ht="12.75">
      <c r="A272" s="522" t="s">
        <v>573</v>
      </c>
      <c r="I272" s="580"/>
    </row>
    <row r="273" spans="1:9" ht="12.75">
      <c r="A273" s="522" t="s">
        <v>574</v>
      </c>
      <c r="I273" s="580"/>
    </row>
    <row r="274" spans="1:9" ht="12.75">
      <c r="A274" s="522" t="s">
        <v>218</v>
      </c>
      <c r="I274" s="580"/>
    </row>
    <row r="275" spans="3:13" s="567" customFormat="1" ht="12.75">
      <c r="C275" s="577"/>
      <c r="E275" s="577"/>
      <c r="G275" s="578"/>
      <c r="H275" s="577"/>
      <c r="I275" s="577"/>
      <c r="J275" s="583"/>
      <c r="K275" s="579"/>
      <c r="L275" s="583"/>
      <c r="M275" s="579"/>
    </row>
  </sheetData>
  <sheetProtection sheet="1" formatCells="0" formatColumns="0" formatRows="0"/>
  <printOptions/>
  <pageMargins left="0.75" right="0.75" top="1" bottom="1" header="0.4921259845" footer="0.4921259845"/>
  <pageSetup fitToHeight="5" fitToWidth="1" horizontalDpi="600" verticalDpi="600" orientation="landscape" paperSize="9" scale="65" r:id="rId3"/>
  <ignoredErrors>
    <ignoredError sqref="H42" twoDigitTextYear="1" formula="1"/>
    <ignoredError sqref="K265:K448 H43:H448 H15:H41 L246:L448 G156:G157 L15:L244 G265:G448 K15:K244 A15:B216 D161 C15:C34 C182 N109:N448 E15:E34 O265:O448 P15:P448 O15:O34 M15:M448 N15:N34 F15:F448 G15:G34 C55:C74 C76 C78 C80:C82 E55:E74 E76 C98 E98 G55:G98 N45:N98 C109:C130 E109:E130 D164 D15:D131 D134 D137 D140 D143 D146 D149 D152 D155 D158 G109:G130 C265:C448 G138:G139 G135:G136 G147:G148 G150:G151 G144:G145 G159:G160 G162:G163 G132:G133 G141:G142 G153:G154 E265:E448 C168 C174 C176 C178 C172 C166 C170 C180 G166 G178 G172 G174 G170 G180 G168 G176 G182 C184 C186 C188:C190 C192 C194 C196 C198 C200 C202 E184 E186 E188 E190 E192 E194 E196 E198 E200 E202 G194 G188 G186 G184 G190 G192 G196 G198 G200 G202 C214 C206 C204 C208 C210 C212 C216 C218 C220 C222 E204 E206 E208 E210 E212 E214 E216 E218 E220 E222 G204 O55:O204 G206 G212 G214 G216 G218 G220 G208 G210 G222 C224:C244 E224:E244 G224:G244 O225:O244 I15:I131 J15:J244 J265:J448 I167 I169 I171 I173 I175 I177 I179 I181 I183 I185 I187 I189 I191 I193 I195 I197 I199 I201 I203 I205 I207 I209 A223 I152 I155 I158 I161 I164:I165 I211 I213 I215 I217 I219 I221 I223 I245:I448 D184:D186 D188:D448 A218:B222 A217 A224:B448 I134 I137 I140 I143" twoDigitTextYear="1"/>
  </ignoredErrors>
  <legacyDrawing r:id="rId2"/>
</worksheet>
</file>

<file path=xl/worksheets/sheet27.xml><?xml version="1.0" encoding="utf-8"?>
<worksheet xmlns="http://schemas.openxmlformats.org/spreadsheetml/2006/main" xmlns:r="http://schemas.openxmlformats.org/officeDocument/2006/relationships">
  <sheetPr codeName="Feuil5">
    <pageSetUpPr fitToPage="1"/>
  </sheetPr>
  <dimension ref="A1:AR275"/>
  <sheetViews>
    <sheetView zoomScale="75" zoomScaleNormal="75" zoomScalePageLayoutView="0" workbookViewId="0" topLeftCell="A1">
      <pane xSplit="1" ySplit="1" topLeftCell="AB2" activePane="bottomRight" state="frozen"/>
      <selection pane="topLeft" activeCell="A1" sqref="A1"/>
      <selection pane="topRight" activeCell="B1" sqref="B1"/>
      <selection pane="bottomLeft" activeCell="A2" sqref="A2"/>
      <selection pane="bottomRight" activeCell="AB3" sqref="AB3"/>
    </sheetView>
  </sheetViews>
  <sheetFormatPr defaultColWidth="11.421875" defaultRowHeight="12.75"/>
  <cols>
    <col min="1" max="1" width="11.421875" style="535" customWidth="1"/>
    <col min="2" max="2" width="12.7109375" style="534" bestFit="1" customWidth="1"/>
    <col min="3" max="3" width="13.28125" style="534" bestFit="1" customWidth="1"/>
    <col min="4" max="4" width="14.28125" style="534" bestFit="1" customWidth="1"/>
    <col min="5" max="6" width="13.8515625" style="534" bestFit="1" customWidth="1"/>
    <col min="7" max="8" width="11.421875" style="534" customWidth="1"/>
    <col min="9" max="9" width="13.8515625" style="534" bestFit="1" customWidth="1"/>
    <col min="10" max="11" width="11.421875" style="534" customWidth="1"/>
    <col min="12" max="12" width="11.421875" style="606" customWidth="1"/>
    <col min="13" max="14" width="11.421875" style="534" customWidth="1"/>
    <col min="15" max="15" width="10.00390625" style="534" bestFit="1" customWidth="1"/>
    <col min="16" max="16" width="8.7109375" style="534" bestFit="1" customWidth="1"/>
    <col min="17" max="17" width="12.28125" style="554" bestFit="1" customWidth="1"/>
    <col min="18" max="18" width="12.57421875" style="534" bestFit="1" customWidth="1"/>
    <col min="19" max="19" width="12.7109375" style="534" bestFit="1" customWidth="1"/>
    <col min="20" max="20" width="10.421875" style="534" bestFit="1" customWidth="1"/>
    <col min="21" max="21" width="14.421875" style="534" bestFit="1" customWidth="1"/>
    <col min="22" max="22" width="14.57421875" style="534" bestFit="1" customWidth="1"/>
    <col min="23" max="23" width="14.8515625" style="534" bestFit="1" customWidth="1"/>
    <col min="24" max="24" width="14.28125" style="534" bestFit="1" customWidth="1"/>
    <col min="25" max="25" width="11.140625" style="534" bestFit="1" customWidth="1"/>
    <col min="26" max="26" width="12.00390625" style="534" bestFit="1" customWidth="1"/>
    <col min="27" max="27" width="15.00390625" style="534" bestFit="1" customWidth="1"/>
    <col min="28" max="28" width="14.57421875" style="534" bestFit="1" customWidth="1"/>
    <col min="29" max="29" width="12.00390625" style="534" bestFit="1" customWidth="1"/>
    <col min="30" max="30" width="12.7109375" style="642" bestFit="1" customWidth="1"/>
    <col min="31" max="35" width="11.421875" style="642" customWidth="1"/>
    <col min="36" max="36" width="16.140625" style="254" bestFit="1" customWidth="1"/>
    <col min="37" max="42" width="11.421875" style="558" customWidth="1"/>
    <col min="43" max="43" width="11.421875" style="534" customWidth="1"/>
    <col min="44" max="44" width="11.421875" style="558" customWidth="1"/>
    <col min="45" max="16384" width="11.421875" style="534" customWidth="1"/>
  </cols>
  <sheetData>
    <row r="1" spans="1:44" ht="63.75">
      <c r="A1" s="508" t="s">
        <v>107</v>
      </c>
      <c r="B1" s="508" t="s">
        <v>578</v>
      </c>
      <c r="C1" s="508" t="s">
        <v>579</v>
      </c>
      <c r="D1" s="509" t="s">
        <v>427</v>
      </c>
      <c r="E1" s="508" t="s">
        <v>580</v>
      </c>
      <c r="F1" s="508" t="s">
        <v>581</v>
      </c>
      <c r="G1" s="509" t="s">
        <v>577</v>
      </c>
      <c r="H1" s="508" t="s">
        <v>582</v>
      </c>
      <c r="I1" s="508" t="s">
        <v>583</v>
      </c>
      <c r="J1" s="509" t="s">
        <v>585</v>
      </c>
      <c r="K1" s="509" t="s">
        <v>584</v>
      </c>
      <c r="L1" s="605" t="s">
        <v>605</v>
      </c>
      <c r="M1" s="508" t="s">
        <v>399</v>
      </c>
      <c r="N1" s="508" t="s">
        <v>400</v>
      </c>
      <c r="O1" s="508" t="s">
        <v>401</v>
      </c>
      <c r="P1" s="508" t="s">
        <v>586</v>
      </c>
      <c r="Q1" s="510" t="s">
        <v>402</v>
      </c>
      <c r="R1" s="508" t="s">
        <v>541</v>
      </c>
      <c r="S1" s="509" t="s">
        <v>542</v>
      </c>
      <c r="T1" s="508" t="s">
        <v>587</v>
      </c>
      <c r="U1" s="508" t="s">
        <v>588</v>
      </c>
      <c r="V1" s="509" t="s">
        <v>589</v>
      </c>
      <c r="W1" s="508" t="s">
        <v>590</v>
      </c>
      <c r="X1" s="508" t="s">
        <v>591</v>
      </c>
      <c r="Y1" s="509" t="s">
        <v>592</v>
      </c>
      <c r="Z1" s="508" t="s">
        <v>593</v>
      </c>
      <c r="AA1" s="508" t="s">
        <v>594</v>
      </c>
      <c r="AB1" s="509" t="s">
        <v>595</v>
      </c>
      <c r="AC1" s="509" t="s">
        <v>431</v>
      </c>
      <c r="AD1" s="504" t="s">
        <v>599</v>
      </c>
      <c r="AE1" s="518" t="s">
        <v>403</v>
      </c>
      <c r="AF1" s="518" t="s">
        <v>600</v>
      </c>
      <c r="AG1" s="518" t="s">
        <v>601</v>
      </c>
      <c r="AH1" s="518" t="s">
        <v>404</v>
      </c>
      <c r="AI1" s="518" t="s">
        <v>617</v>
      </c>
      <c r="AJ1" s="553" t="s">
        <v>596</v>
      </c>
      <c r="AK1" s="508" t="s">
        <v>602</v>
      </c>
      <c r="AL1" s="508" t="s">
        <v>440</v>
      </c>
      <c r="AM1" s="508" t="s">
        <v>603</v>
      </c>
      <c r="AN1" s="508" t="s">
        <v>604</v>
      </c>
      <c r="AO1" s="508" t="s">
        <v>439</v>
      </c>
      <c r="AP1" s="508" t="s">
        <v>441</v>
      </c>
      <c r="AR1" s="508" t="s">
        <v>0</v>
      </c>
    </row>
    <row r="2" spans="1:44" ht="12.75">
      <c r="A2" s="511"/>
      <c r="B2" s="511"/>
      <c r="C2" s="511"/>
      <c r="D2" s="512"/>
      <c r="E2" s="511"/>
      <c r="F2" s="511"/>
      <c r="G2" s="512"/>
      <c r="H2" s="511"/>
      <c r="I2" s="511"/>
      <c r="J2" s="512"/>
      <c r="K2" s="512"/>
      <c r="L2" s="517"/>
      <c r="M2" s="511"/>
      <c r="N2" s="511"/>
      <c r="O2" s="511"/>
      <c r="P2" s="511"/>
      <c r="Q2" s="513"/>
      <c r="R2" s="511"/>
      <c r="S2" s="512"/>
      <c r="T2" s="511"/>
      <c r="U2" s="511"/>
      <c r="V2" s="512"/>
      <c r="W2" s="511"/>
      <c r="X2" s="511"/>
      <c r="Y2" s="512"/>
      <c r="Z2" s="511"/>
      <c r="AA2" s="511"/>
      <c r="AB2" s="512"/>
      <c r="AC2" s="511"/>
      <c r="AD2" s="517"/>
      <c r="AE2" s="517"/>
      <c r="AF2" s="517"/>
      <c r="AG2" s="517"/>
      <c r="AH2" s="517"/>
      <c r="AI2" s="517"/>
      <c r="AJ2" s="619"/>
      <c r="AK2" s="560"/>
      <c r="AL2" s="560"/>
      <c r="AM2" s="560"/>
      <c r="AN2" s="560"/>
      <c r="AO2" s="560"/>
      <c r="AP2" s="560"/>
      <c r="AR2" s="560"/>
    </row>
    <row r="3" spans="1:44" s="536" customFormat="1" ht="12.75">
      <c r="A3" s="515" t="s">
        <v>347</v>
      </c>
      <c r="B3" s="526">
        <v>155503.2</v>
      </c>
      <c r="C3" s="526">
        <v>273406.5</v>
      </c>
      <c r="D3" s="516">
        <f>(B3/'Field recov'!B3)+(C3/'Field recov'!C3)</f>
        <v>466206.19565217395</v>
      </c>
      <c r="E3" s="526">
        <v>50050.8</v>
      </c>
      <c r="F3" s="526">
        <v>169922.9</v>
      </c>
      <c r="G3" s="516">
        <f>(E3/'Field recov'!F3)+(F3/'Field recov'!G3)</f>
        <v>239101.84782608695</v>
      </c>
      <c r="H3" s="526">
        <v>207349.8</v>
      </c>
      <c r="I3" s="526">
        <v>265181.5</v>
      </c>
      <c r="J3" s="516">
        <f>(H3/'Field recov'!J3)+(I3/'Field recov'!K3)</f>
        <v>513620.9782608695</v>
      </c>
      <c r="K3" s="527">
        <f aca="true" t="shared" si="0" ref="K3:K12">D3+G3+J3</f>
        <v>1218929.0217391304</v>
      </c>
      <c r="L3" s="527"/>
      <c r="M3" s="519"/>
      <c r="N3" s="526">
        <v>58.5</v>
      </c>
      <c r="O3" s="526">
        <v>71025.6</v>
      </c>
      <c r="P3" s="526">
        <v>41.94</v>
      </c>
      <c r="Q3" s="596">
        <f>(P3*29)/('Field recov'!V3*2)</f>
        <v>856.5211267605634</v>
      </c>
      <c r="R3" s="526">
        <v>79.53</v>
      </c>
      <c r="S3" s="516">
        <f>(R3*2)/'Field recov'!AA3</f>
        <v>159.06</v>
      </c>
      <c r="T3" s="526">
        <v>11916.4</v>
      </c>
      <c r="U3" s="526">
        <v>21386.5</v>
      </c>
      <c r="V3" s="516">
        <f>(T3/'Field recov'!AC3)+(U3/'Field recov'!AD3)</f>
        <v>33302.9</v>
      </c>
      <c r="W3" s="526">
        <v>44667.5</v>
      </c>
      <c r="X3" s="526">
        <v>17638.3</v>
      </c>
      <c r="Y3" s="530">
        <f>(W3/'Field recov'!AG3)+(X3/'Field recov'!AH3)</f>
        <v>62305.8</v>
      </c>
      <c r="Z3" s="526">
        <v>121689.2</v>
      </c>
      <c r="AA3" s="526">
        <v>77077</v>
      </c>
      <c r="AB3" s="516">
        <f>(Z3/'Field recov'!AK3)+(AA3/'Field recov'!AL3)</f>
        <v>198766.2</v>
      </c>
      <c r="AC3" s="530">
        <f>V3+Y3+AB3</f>
        <v>294374.9</v>
      </c>
      <c r="AD3" s="516"/>
      <c r="AE3" s="527"/>
      <c r="AF3" s="527">
        <f>S3</f>
        <v>159.06</v>
      </c>
      <c r="AG3" s="527"/>
      <c r="AH3" s="527">
        <f>IF(N3&lt;&gt;"",N3/'Field recov'!R3)</f>
        <v>58.5</v>
      </c>
      <c r="AI3" s="527"/>
      <c r="AJ3" s="620">
        <v>1.05</v>
      </c>
      <c r="AK3" s="561"/>
      <c r="AL3" s="561"/>
      <c r="AM3" s="561">
        <f aca="true" t="shared" si="1" ref="AM3:AM22">AF3/AJ3</f>
        <v>151.4857142857143</v>
      </c>
      <c r="AN3" s="561"/>
      <c r="AO3" s="561">
        <f>AH3/AJ3</f>
        <v>55.714285714285715</v>
      </c>
      <c r="AP3" s="561">
        <f>Q3/AJ3</f>
        <v>815.7344064386318</v>
      </c>
      <c r="AR3" s="561"/>
    </row>
    <row r="4" spans="1:44" ht="12.75">
      <c r="A4" s="511" t="s">
        <v>348</v>
      </c>
      <c r="B4" s="525">
        <v>183269.4</v>
      </c>
      <c r="C4" s="525">
        <v>208833</v>
      </c>
      <c r="D4" s="512">
        <f>(B4/'Field recov'!B4)+(C4/'Field recov'!C4)</f>
        <v>426198.2608695652</v>
      </c>
      <c r="E4" s="525">
        <v>118359.5</v>
      </c>
      <c r="F4" s="525">
        <v>92332.3</v>
      </c>
      <c r="G4" s="512">
        <f>(E4/'Field recov'!F4)+(F4/'Field recov'!G4)</f>
        <v>229012.8260869565</v>
      </c>
      <c r="H4" s="525">
        <v>159786</v>
      </c>
      <c r="I4" s="525">
        <v>151202.8</v>
      </c>
      <c r="J4" s="512">
        <f>(H4/'Field recov'!J4)+(I4/'Field recov'!K4)</f>
        <v>338031.30434782605</v>
      </c>
      <c r="K4" s="509">
        <f t="shared" si="0"/>
        <v>993242.3913043478</v>
      </c>
      <c r="L4" s="518"/>
      <c r="M4" s="520"/>
      <c r="N4" s="525">
        <v>270.1</v>
      </c>
      <c r="O4" s="525">
        <v>37536.7</v>
      </c>
      <c r="P4" s="525">
        <v>216.3</v>
      </c>
      <c r="Q4" s="513">
        <f>(P4*29)/('Field recov'!V4*2)</f>
        <v>4480.500000000001</v>
      </c>
      <c r="R4" s="525">
        <v>274.7</v>
      </c>
      <c r="S4" s="512">
        <f>(R4*2)/'Field recov'!AA4</f>
        <v>549.4</v>
      </c>
      <c r="T4" s="525">
        <v>140534.7</v>
      </c>
      <c r="U4" s="525">
        <v>130648.1</v>
      </c>
      <c r="V4" s="512">
        <f>(T4/'Field recov'!AC4)+(U4/'Field recov'!AD4)</f>
        <v>271182.80000000005</v>
      </c>
      <c r="W4" s="525">
        <v>160390.7</v>
      </c>
      <c r="X4" s="525">
        <v>80168.1</v>
      </c>
      <c r="Y4" s="540">
        <f>(W4/'Field recov'!AG4)+(X4/'Field recov'!AH4)</f>
        <v>240558.80000000002</v>
      </c>
      <c r="Z4" s="525">
        <v>168101</v>
      </c>
      <c r="AA4" s="525">
        <v>166401.5</v>
      </c>
      <c r="AB4" s="512">
        <f>(Z4/'Field recov'!AK4)+(AA4/'Field recov'!AL4)</f>
        <v>334502.5</v>
      </c>
      <c r="AC4" s="540">
        <f>V4+Y4+AB4</f>
        <v>846244.1000000001</v>
      </c>
      <c r="AD4" s="517"/>
      <c r="AE4" s="518"/>
      <c r="AF4" s="518">
        <f aca="true" t="shared" si="2" ref="AF4:AF44">S4</f>
        <v>549.4</v>
      </c>
      <c r="AG4" s="518"/>
      <c r="AH4" s="518">
        <f>IF(N4&lt;&gt;"",N4/'Field recov'!R4)</f>
        <v>270.1</v>
      </c>
      <c r="AI4" s="518"/>
      <c r="AJ4" s="621">
        <v>1.05</v>
      </c>
      <c r="AK4" s="508"/>
      <c r="AL4" s="563"/>
      <c r="AM4" s="508">
        <f t="shared" si="1"/>
        <v>523.2380952380952</v>
      </c>
      <c r="AN4" s="563"/>
      <c r="AO4" s="508">
        <f>AH4/AJ4</f>
        <v>257.23809523809524</v>
      </c>
      <c r="AP4" s="508">
        <f>Q4/AJ4</f>
        <v>4267.142857142858</v>
      </c>
      <c r="AR4" s="563"/>
    </row>
    <row r="5" spans="1:44" ht="12.75">
      <c r="A5" s="511" t="s">
        <v>349</v>
      </c>
      <c r="B5" s="525">
        <v>16721.7</v>
      </c>
      <c r="C5" s="525">
        <v>53756.7</v>
      </c>
      <c r="D5" s="512">
        <f>(B5/'Field recov'!B5)+(C5/'Field recov'!C5)</f>
        <v>76606.95652173912</v>
      </c>
      <c r="E5" s="525">
        <v>358088.2</v>
      </c>
      <c r="F5" s="525">
        <v>196014.3</v>
      </c>
      <c r="G5" s="512">
        <f>(E5/'Field recov'!F5)+(F5/'Field recov'!G5)</f>
        <v>602285.3260869565</v>
      </c>
      <c r="H5" s="525">
        <v>115680.9</v>
      </c>
      <c r="I5" s="525">
        <v>590473.4</v>
      </c>
      <c r="J5" s="512">
        <f>(H5/'Field recov'!J5)+(I5/'Field recov'!K5)</f>
        <v>767559.0217391304</v>
      </c>
      <c r="K5" s="509">
        <f t="shared" si="0"/>
        <v>1446451.3043478262</v>
      </c>
      <c r="L5" s="518"/>
      <c r="M5" s="520"/>
      <c r="N5" s="525">
        <v>1083</v>
      </c>
      <c r="O5" s="525">
        <v>24108.4</v>
      </c>
      <c r="P5" s="525">
        <v>29.07</v>
      </c>
      <c r="Q5" s="513">
        <f>(P5*29)/('Field recov'!V5*2)</f>
        <v>593.6830985915493</v>
      </c>
      <c r="R5" s="525">
        <v>250</v>
      </c>
      <c r="S5" s="512">
        <f>(R5*2)/'Field recov'!AA5</f>
        <v>500</v>
      </c>
      <c r="T5" s="525">
        <v>48959.5</v>
      </c>
      <c r="U5" s="525">
        <v>91118.5</v>
      </c>
      <c r="V5" s="512">
        <f>(T5/'Field recov'!AC5)+(U5/'Field recov'!AD5)</f>
        <v>140078</v>
      </c>
      <c r="W5" s="525">
        <v>21396.6</v>
      </c>
      <c r="X5" s="525">
        <v>11962.9</v>
      </c>
      <c r="Y5" s="540">
        <f>(W5/'Field recov'!AG5)+(X5/'Field recov'!AH5)</f>
        <v>33359.5</v>
      </c>
      <c r="Z5" s="525">
        <v>39644.2</v>
      </c>
      <c r="AA5" s="525">
        <v>6109.2</v>
      </c>
      <c r="AB5" s="512">
        <f>(Z5/'Field recov'!AK5)+(AA5/'Field recov'!AL5)</f>
        <v>45753.399999999994</v>
      </c>
      <c r="AC5" s="540">
        <f aca="true" t="shared" si="3" ref="AC5:AC44">V5+Y5+AB5</f>
        <v>219190.9</v>
      </c>
      <c r="AD5" s="517"/>
      <c r="AE5" s="518"/>
      <c r="AF5" s="518">
        <f t="shared" si="2"/>
        <v>500</v>
      </c>
      <c r="AG5" s="518"/>
      <c r="AH5" s="518">
        <f>IF(N5&lt;&gt;"",N5/'Field recov'!R5)</f>
        <v>1083</v>
      </c>
      <c r="AI5" s="518"/>
      <c r="AJ5" s="621">
        <v>0.99</v>
      </c>
      <c r="AK5" s="508"/>
      <c r="AL5" s="563"/>
      <c r="AM5" s="508">
        <f t="shared" si="1"/>
        <v>505.0505050505051</v>
      </c>
      <c r="AN5" s="563"/>
      <c r="AO5" s="508">
        <f>AH5/AJ5</f>
        <v>1093.939393939394</v>
      </c>
      <c r="AP5" s="508">
        <f aca="true" t="shared" si="4" ref="AP5:AP44">Q5/AJ5</f>
        <v>599.6798975672216</v>
      </c>
      <c r="AR5" s="563"/>
    </row>
    <row r="6" spans="1:44" ht="12.75">
      <c r="A6" s="511" t="s">
        <v>350</v>
      </c>
      <c r="B6" s="525">
        <v>236925.3</v>
      </c>
      <c r="C6" s="525">
        <v>142173.7</v>
      </c>
      <c r="D6" s="512">
        <f>(B6/'Field recov'!B6)+(C6/'Field recov'!C6)</f>
        <v>412064.1304347826</v>
      </c>
      <c r="E6" s="525">
        <v>258355.4</v>
      </c>
      <c r="F6" s="525">
        <v>338591.3</v>
      </c>
      <c r="G6" s="512">
        <f>(E6/'Field recov'!F6)+(F6/'Field recov'!G6)</f>
        <v>648855.1086956521</v>
      </c>
      <c r="H6" s="525">
        <v>414345.7</v>
      </c>
      <c r="I6" s="525">
        <v>171611.2</v>
      </c>
      <c r="J6" s="512">
        <f>(H6/'Field recov'!J6)+(I6/'Field recov'!K6)</f>
        <v>636909.6739130435</v>
      </c>
      <c r="K6" s="509">
        <f t="shared" si="0"/>
        <v>1697828.913043478</v>
      </c>
      <c r="L6" s="518"/>
      <c r="M6" s="520"/>
      <c r="N6" s="525">
        <v>277</v>
      </c>
      <c r="O6" s="525">
        <v>46050.1</v>
      </c>
      <c r="P6" s="525">
        <v>38.63</v>
      </c>
      <c r="Q6" s="513">
        <f>(P6*29)/('Field recov'!V6*2)</f>
        <v>788.9225352112676</v>
      </c>
      <c r="R6" s="525">
        <v>625.1</v>
      </c>
      <c r="S6" s="512">
        <f>(R6*2)/'Field recov'!AA6</f>
        <v>1250.2</v>
      </c>
      <c r="T6" s="525">
        <v>71791.5</v>
      </c>
      <c r="U6" s="525">
        <v>167387.1</v>
      </c>
      <c r="V6" s="512">
        <f>(T6/'Field recov'!AC6)+(U6/'Field recov'!AD6)</f>
        <v>239178.6</v>
      </c>
      <c r="W6" s="525">
        <v>235176.9</v>
      </c>
      <c r="X6" s="525">
        <v>36674.1</v>
      </c>
      <c r="Y6" s="540">
        <f>(W6/'Field recov'!AG6)+(X6/'Field recov'!AH6)</f>
        <v>271851</v>
      </c>
      <c r="Z6" s="525">
        <v>243686.9</v>
      </c>
      <c r="AA6" s="525">
        <v>196939.3</v>
      </c>
      <c r="AB6" s="512">
        <f>(Z6/'Field recov'!AK6)+(AA6/'Field recov'!AL6)</f>
        <v>440626.19999999995</v>
      </c>
      <c r="AC6" s="540">
        <f t="shared" si="3"/>
        <v>951655.7999999999</v>
      </c>
      <c r="AD6" s="517"/>
      <c r="AE6" s="518"/>
      <c r="AF6" s="518">
        <f t="shared" si="2"/>
        <v>1250.2</v>
      </c>
      <c r="AG6" s="518"/>
      <c r="AH6" s="518">
        <f>IF(N6&lt;&gt;"",N6/'Field recov'!R6)</f>
        <v>277</v>
      </c>
      <c r="AI6" s="518"/>
      <c r="AJ6" s="621">
        <v>0.7</v>
      </c>
      <c r="AK6" s="508"/>
      <c r="AL6" s="563"/>
      <c r="AM6" s="508">
        <f t="shared" si="1"/>
        <v>1786.0000000000002</v>
      </c>
      <c r="AN6" s="563"/>
      <c r="AO6" s="508">
        <f>AH6/AJ6</f>
        <v>395.7142857142857</v>
      </c>
      <c r="AP6" s="508">
        <f t="shared" si="4"/>
        <v>1127.0321931589538</v>
      </c>
      <c r="AR6" s="563"/>
    </row>
    <row r="7" spans="1:44" ht="12.75">
      <c r="A7" s="511" t="s">
        <v>351</v>
      </c>
      <c r="B7" s="525">
        <v>96637</v>
      </c>
      <c r="C7" s="525">
        <v>114691.7</v>
      </c>
      <c r="D7" s="512">
        <f>(B7/'Field recov'!B7)+(C7/'Field recov'!C7)</f>
        <v>229705.10869565216</v>
      </c>
      <c r="E7" s="525">
        <v>51826.8</v>
      </c>
      <c r="F7" s="525">
        <v>50696.5</v>
      </c>
      <c r="G7" s="512">
        <f>(E7/'Field recov'!F7)+(F7/'Field recov'!G7)</f>
        <v>111438.36956521739</v>
      </c>
      <c r="H7" s="525">
        <v>157623.7</v>
      </c>
      <c r="I7" s="525">
        <v>196339.3</v>
      </c>
      <c r="J7" s="512">
        <f>(H7/'Field recov'!J7)+(I7/'Field recov'!K7)</f>
        <v>384742.3913043478</v>
      </c>
      <c r="K7" s="509">
        <f t="shared" si="0"/>
        <v>725885.8695652173</v>
      </c>
      <c r="L7" s="518"/>
      <c r="M7" s="520"/>
      <c r="N7" s="525">
        <v>481.3</v>
      </c>
      <c r="O7" s="525">
        <v>4983.46</v>
      </c>
      <c r="P7" s="525">
        <v>25.7</v>
      </c>
      <c r="Q7" s="513">
        <f>(P7*29)/('Field recov'!V7*2)</f>
        <v>524.8591549295775</v>
      </c>
      <c r="R7" s="525">
        <v>55.1</v>
      </c>
      <c r="S7" s="512">
        <f>(R7*2)/'Field recov'!AA7</f>
        <v>110.2</v>
      </c>
      <c r="T7" s="525">
        <v>14629.4</v>
      </c>
      <c r="U7" s="525">
        <v>19074.7</v>
      </c>
      <c r="V7" s="512">
        <f>(T7/'Field recov'!AC7)+(U7/'Field recov'!AD7)</f>
        <v>33704.1</v>
      </c>
      <c r="W7" s="525">
        <v>35676.5</v>
      </c>
      <c r="X7" s="525">
        <v>13333</v>
      </c>
      <c r="Y7" s="540">
        <f>(W7/'Field recov'!AG7)+(X7/'Field recov'!AH7)</f>
        <v>49009.5</v>
      </c>
      <c r="Z7" s="525">
        <v>97284.8</v>
      </c>
      <c r="AA7" s="525">
        <v>29291</v>
      </c>
      <c r="AB7" s="512">
        <f>(Z7/'Field recov'!AK7)+(AA7/'Field recov'!AL7)</f>
        <v>126575.8</v>
      </c>
      <c r="AC7" s="540">
        <f t="shared" si="3"/>
        <v>209289.40000000002</v>
      </c>
      <c r="AD7" s="517"/>
      <c r="AE7" s="518"/>
      <c r="AF7" s="518">
        <f t="shared" si="2"/>
        <v>110.2</v>
      </c>
      <c r="AG7" s="518"/>
      <c r="AH7" s="518">
        <f>IF(N7&lt;&gt;"",N7/'Field recov'!R7)</f>
        <v>481.3</v>
      </c>
      <c r="AI7" s="518"/>
      <c r="AJ7" s="621">
        <v>0.75</v>
      </c>
      <c r="AK7" s="508"/>
      <c r="AL7" s="563"/>
      <c r="AM7" s="508">
        <f t="shared" si="1"/>
        <v>146.93333333333334</v>
      </c>
      <c r="AN7" s="563"/>
      <c r="AO7" s="508">
        <f>AH7/AJ7</f>
        <v>641.7333333333333</v>
      </c>
      <c r="AP7" s="508">
        <f t="shared" si="4"/>
        <v>699.8122065727699</v>
      </c>
      <c r="AR7" s="563"/>
    </row>
    <row r="8" spans="1:44" ht="12.75">
      <c r="A8" s="511" t="s">
        <v>352</v>
      </c>
      <c r="B8" s="525">
        <v>87554.5</v>
      </c>
      <c r="C8" s="525">
        <v>36571.7</v>
      </c>
      <c r="D8" s="512">
        <f>(B8/'Field recov'!B8)+(C8/'Field recov'!C8)</f>
        <v>134919.78260869565</v>
      </c>
      <c r="E8" s="525">
        <v>53037.1</v>
      </c>
      <c r="F8" s="525">
        <v>30656.3</v>
      </c>
      <c r="G8" s="512">
        <f>(E8/'Field recov'!F8)+(F8/'Field recov'!G8)</f>
        <v>90971.08695652173</v>
      </c>
      <c r="H8" s="525">
        <v>107763.1</v>
      </c>
      <c r="I8" s="525">
        <v>100806.7</v>
      </c>
      <c r="J8" s="512">
        <f>(H8/'Field recov'!J8)+(I8/'Field recov'!K8)</f>
        <v>226706.30434782608</v>
      </c>
      <c r="K8" s="509">
        <f t="shared" si="0"/>
        <v>452597.17391304346</v>
      </c>
      <c r="L8" s="518"/>
      <c r="M8" s="525">
        <v>10877.1</v>
      </c>
      <c r="N8" s="525"/>
      <c r="O8" s="525"/>
      <c r="P8" s="525">
        <v>11.6</v>
      </c>
      <c r="Q8" s="513">
        <f>(P8*29)/('Field recov'!V8*2)</f>
        <v>236.90140845070422</v>
      </c>
      <c r="R8" s="525">
        <v>100</v>
      </c>
      <c r="S8" s="512">
        <f>(R8*2)/'Field recov'!AA8</f>
        <v>200</v>
      </c>
      <c r="T8" s="525">
        <v>29515.7</v>
      </c>
      <c r="U8" s="525">
        <v>47838.4</v>
      </c>
      <c r="V8" s="512">
        <f>(T8/'Field recov'!AC8)+(U8/'Field recov'!AD8)</f>
        <v>77354.1</v>
      </c>
      <c r="W8" s="525">
        <v>24082.3</v>
      </c>
      <c r="X8" s="525">
        <v>14258</v>
      </c>
      <c r="Y8" s="540">
        <f>(W8/'Field recov'!AG8)+(X8/'Field recov'!AH8)</f>
        <v>38340.3</v>
      </c>
      <c r="Z8" s="525">
        <v>106687</v>
      </c>
      <c r="AA8" s="525">
        <v>123832</v>
      </c>
      <c r="AB8" s="512">
        <f>(Z8/'Field recov'!AK8)+(AA8/'Field recov'!AL8)</f>
        <v>230519</v>
      </c>
      <c r="AC8" s="540">
        <f t="shared" si="3"/>
        <v>346213.4</v>
      </c>
      <c r="AD8" s="517"/>
      <c r="AE8" s="518"/>
      <c r="AF8" s="518">
        <f t="shared" si="2"/>
        <v>200</v>
      </c>
      <c r="AG8" s="518"/>
      <c r="AH8" s="518"/>
      <c r="AI8" s="518"/>
      <c r="AJ8" s="621">
        <v>0.75</v>
      </c>
      <c r="AK8" s="508"/>
      <c r="AL8" s="563"/>
      <c r="AM8" s="508">
        <f t="shared" si="1"/>
        <v>266.6666666666667</v>
      </c>
      <c r="AN8" s="563"/>
      <c r="AO8" s="508"/>
      <c r="AP8" s="508">
        <f t="shared" si="4"/>
        <v>315.86854460093895</v>
      </c>
      <c r="AR8" s="563"/>
    </row>
    <row r="9" spans="1:44" ht="12.75">
      <c r="A9" s="511" t="s">
        <v>353</v>
      </c>
      <c r="B9" s="525">
        <v>112902.5</v>
      </c>
      <c r="C9" s="525">
        <v>132104.8</v>
      </c>
      <c r="D9" s="512">
        <f>(B9/'Field recov'!B9)+(C9/'Field recov'!C9)</f>
        <v>266312.2826086956</v>
      </c>
      <c r="E9" s="525">
        <v>147868</v>
      </c>
      <c r="F9" s="525">
        <v>81702.7</v>
      </c>
      <c r="G9" s="512">
        <f>(E9/'Field recov'!F9)+(F9/'Field recov'!G9)</f>
        <v>249533.36956521738</v>
      </c>
      <c r="H9" s="525">
        <v>128774</v>
      </c>
      <c r="I9" s="525">
        <v>143968.8</v>
      </c>
      <c r="J9" s="512">
        <f>(H9/'Field recov'!J9)+(I9/'Field recov'!K9)</f>
        <v>296459.5652173913</v>
      </c>
      <c r="K9" s="509">
        <f t="shared" si="0"/>
        <v>812305.2173913042</v>
      </c>
      <c r="L9" s="518"/>
      <c r="M9" s="520"/>
      <c r="N9" s="525">
        <v>950</v>
      </c>
      <c r="O9" s="525">
        <v>3907.9</v>
      </c>
      <c r="P9" s="525">
        <v>54.37</v>
      </c>
      <c r="Q9" s="513">
        <f>(P9*29)/('Field recov'!V9*2)</f>
        <v>1126.2357142857143</v>
      </c>
      <c r="R9" s="525">
        <v>400.3</v>
      </c>
      <c r="S9" s="512">
        <f>(R9*2)/'Field recov'!AA9</f>
        <v>800.6</v>
      </c>
      <c r="T9" s="525">
        <v>25882.7</v>
      </c>
      <c r="U9" s="525">
        <v>19299.9</v>
      </c>
      <c r="V9" s="512">
        <f>(T9/'Field recov'!AC9)+(U9/'Field recov'!AD9)</f>
        <v>45182.600000000006</v>
      </c>
      <c r="W9" s="525">
        <v>4013.1</v>
      </c>
      <c r="X9" s="525">
        <v>2941.6</v>
      </c>
      <c r="Y9" s="540">
        <f>(W9/'Field recov'!AG9)+(X9/'Field recov'!AH9)</f>
        <v>6954.7</v>
      </c>
      <c r="Z9" s="525">
        <v>3892.4</v>
      </c>
      <c r="AA9" s="525">
        <v>1061.4</v>
      </c>
      <c r="AB9" s="512">
        <f>(Z9/'Field recov'!AK9)+(AA9/'Field recov'!AL9)</f>
        <v>4953.8</v>
      </c>
      <c r="AC9" s="540">
        <f t="shared" si="3"/>
        <v>57091.100000000006</v>
      </c>
      <c r="AD9" s="517"/>
      <c r="AE9" s="518"/>
      <c r="AF9" s="518">
        <f t="shared" si="2"/>
        <v>800.6</v>
      </c>
      <c r="AG9" s="518"/>
      <c r="AH9" s="518">
        <f>IF(N9&lt;&gt;"",N9/'Field recov'!R9)</f>
        <v>950</v>
      </c>
      <c r="AI9" s="518"/>
      <c r="AJ9" s="621">
        <v>0.68</v>
      </c>
      <c r="AK9" s="508"/>
      <c r="AL9" s="563"/>
      <c r="AM9" s="508">
        <f t="shared" si="1"/>
        <v>1177.3529411764705</v>
      </c>
      <c r="AN9" s="563"/>
      <c r="AO9" s="508">
        <f>AH9/AJ9</f>
        <v>1397.0588235294117</v>
      </c>
      <c r="AP9" s="508">
        <f t="shared" si="4"/>
        <v>1656.2289915966385</v>
      </c>
      <c r="AR9" s="563"/>
    </row>
    <row r="10" spans="1:44" ht="12.75">
      <c r="A10" s="511" t="s">
        <v>354</v>
      </c>
      <c r="B10" s="525">
        <v>303243.4</v>
      </c>
      <c r="C10" s="525">
        <v>322988.6</v>
      </c>
      <c r="D10" s="512">
        <f>(B10/'Field recov'!B10)+(C10/'Field recov'!C10)</f>
        <v>680686.956521739</v>
      </c>
      <c r="E10" s="525">
        <v>167099.6</v>
      </c>
      <c r="F10" s="525">
        <v>120769.6</v>
      </c>
      <c r="G10" s="512">
        <f>(E10/'Field recov'!F10)+(F10/'Field recov'!G10)</f>
        <v>312901.30434782605</v>
      </c>
      <c r="H10" s="525">
        <v>378276.2</v>
      </c>
      <c r="I10" s="525">
        <v>467536.2</v>
      </c>
      <c r="J10" s="512">
        <f>(H10/'Field recov'!J10)+(I10/'Field recov'!K10)</f>
        <v>919361.304347826</v>
      </c>
      <c r="K10" s="509">
        <f t="shared" si="0"/>
        <v>1912949.5652173911</v>
      </c>
      <c r="L10" s="518"/>
      <c r="M10" s="525">
        <v>28332.4</v>
      </c>
      <c r="N10" s="525"/>
      <c r="O10" s="525"/>
      <c r="P10" s="525">
        <v>41.31</v>
      </c>
      <c r="Q10" s="513">
        <f>(P10*29)/('Field recov'!V10*2.2)</f>
        <v>766.9590268886043</v>
      </c>
      <c r="R10" s="525">
        <v>247.3</v>
      </c>
      <c r="S10" s="512">
        <f>(R10*2)/'Field recov'!AA10</f>
        <v>494.6</v>
      </c>
      <c r="T10" s="525">
        <v>48492.4</v>
      </c>
      <c r="U10" s="525">
        <v>42032.4</v>
      </c>
      <c r="V10" s="512">
        <f>(T10/'Field recov'!AC10)+(U10/'Field recov'!AD10)</f>
        <v>90524.8</v>
      </c>
      <c r="W10" s="525">
        <v>42945.7</v>
      </c>
      <c r="X10" s="525">
        <v>18320.1</v>
      </c>
      <c r="Y10" s="540">
        <f>(W10/'Field recov'!AG10)+(X10/'Field recov'!AH10)</f>
        <v>61265.799999999996</v>
      </c>
      <c r="Z10" s="525">
        <v>76590.6</v>
      </c>
      <c r="AA10" s="525">
        <v>19153.6</v>
      </c>
      <c r="AB10" s="512">
        <f>(Z10/'Field recov'!AK10)+(AA10/'Field recov'!AL10)</f>
        <v>95744.20000000001</v>
      </c>
      <c r="AC10" s="540">
        <f t="shared" si="3"/>
        <v>247534.80000000002</v>
      </c>
      <c r="AD10" s="517"/>
      <c r="AE10" s="518"/>
      <c r="AF10" s="518">
        <f t="shared" si="2"/>
        <v>494.6</v>
      </c>
      <c r="AG10" s="518"/>
      <c r="AH10" s="518"/>
      <c r="AI10" s="518"/>
      <c r="AJ10" s="621">
        <v>0.73</v>
      </c>
      <c r="AK10" s="508"/>
      <c r="AL10" s="563"/>
      <c r="AM10" s="508">
        <f t="shared" si="1"/>
        <v>677.5342465753425</v>
      </c>
      <c r="AN10" s="563"/>
      <c r="AO10" s="508"/>
      <c r="AP10" s="508">
        <f t="shared" si="4"/>
        <v>1050.6288039569922</v>
      </c>
      <c r="AR10" s="563"/>
    </row>
    <row r="11" spans="1:44" ht="12.75">
      <c r="A11" s="511" t="s">
        <v>355</v>
      </c>
      <c r="B11" s="525">
        <v>36836.9</v>
      </c>
      <c r="C11" s="525">
        <v>26223.7</v>
      </c>
      <c r="D11" s="512">
        <f>(B11/'Field recov'!B11)+(C11/'Field recov'!C11)</f>
        <v>68544.13043478261</v>
      </c>
      <c r="E11" s="525">
        <v>20860.8</v>
      </c>
      <c r="F11" s="525">
        <v>18846.2</v>
      </c>
      <c r="G11" s="512">
        <f>(E11/'Field recov'!F11)+(F11/'Field recov'!G11)</f>
        <v>43159.78260869565</v>
      </c>
      <c r="H11" s="525">
        <v>46332.2</v>
      </c>
      <c r="I11" s="525">
        <v>75604.4</v>
      </c>
      <c r="J11" s="512">
        <f>(H11/'Field recov'!J11)+(I11/'Field recov'!K11)</f>
        <v>132539.78260869565</v>
      </c>
      <c r="K11" s="509">
        <f t="shared" si="0"/>
        <v>244243.6956521739</v>
      </c>
      <c r="L11" s="518"/>
      <c r="M11" s="525">
        <v>9822.4</v>
      </c>
      <c r="N11" s="525"/>
      <c r="O11" s="525"/>
      <c r="P11" s="525">
        <v>13.17</v>
      </c>
      <c r="Q11" s="513">
        <f>(P11*29)/('Field recov'!V11*2)</f>
        <v>268.96478873239437</v>
      </c>
      <c r="R11" s="525">
        <v>93.6</v>
      </c>
      <c r="S11" s="512">
        <f>(R11*2)/'Field recov'!AA11</f>
        <v>187.2</v>
      </c>
      <c r="T11" s="525">
        <v>41768.7</v>
      </c>
      <c r="U11" s="525">
        <v>55736.6</v>
      </c>
      <c r="V11" s="512">
        <f>(T11/'Field recov'!AC11)+(U11/'Field recov'!AD11)</f>
        <v>97505.29999999999</v>
      </c>
      <c r="W11" s="525">
        <v>13916.2</v>
      </c>
      <c r="X11" s="525">
        <v>18165.2</v>
      </c>
      <c r="Y11" s="540">
        <f>(W11/'Field recov'!AG11)+(X11/'Field recov'!AH11)</f>
        <v>32081.4</v>
      </c>
      <c r="Z11" s="525">
        <v>88069.9</v>
      </c>
      <c r="AA11" s="525">
        <v>34966.6</v>
      </c>
      <c r="AB11" s="512">
        <f>(Z11/'Field recov'!AK11)+(AA11/'Field recov'!AL11)</f>
        <v>123036.5</v>
      </c>
      <c r="AC11" s="540">
        <f t="shared" si="3"/>
        <v>252623.19999999998</v>
      </c>
      <c r="AD11" s="517"/>
      <c r="AE11" s="518"/>
      <c r="AF11" s="518">
        <f t="shared" si="2"/>
        <v>187.2</v>
      </c>
      <c r="AG11" s="518"/>
      <c r="AH11" s="518"/>
      <c r="AI11" s="518"/>
      <c r="AJ11" s="621">
        <v>0.38</v>
      </c>
      <c r="AK11" s="508"/>
      <c r="AL11" s="563"/>
      <c r="AM11" s="508">
        <f t="shared" si="1"/>
        <v>492.6315789473684</v>
      </c>
      <c r="AN11" s="563"/>
      <c r="AO11" s="508"/>
      <c r="AP11" s="508">
        <f t="shared" si="4"/>
        <v>707.8020756115641</v>
      </c>
      <c r="AR11" s="563"/>
    </row>
    <row r="12" spans="1:44" ht="12.75">
      <c r="A12" s="511" t="s">
        <v>356</v>
      </c>
      <c r="B12" s="525">
        <v>61448.2</v>
      </c>
      <c r="C12" s="525">
        <v>74936.2</v>
      </c>
      <c r="D12" s="512">
        <f>(B12/'Field recov'!B12)+(C12/'Field recov'!C12)</f>
        <v>148243.91304347827</v>
      </c>
      <c r="E12" s="525">
        <v>30940.8</v>
      </c>
      <c r="F12" s="525">
        <v>46359.7</v>
      </c>
      <c r="G12" s="512">
        <f>(E12/'Field recov'!F12)+(F12/'Field recov'!G12)</f>
        <v>84022.28260869565</v>
      </c>
      <c r="H12" s="525">
        <v>189788</v>
      </c>
      <c r="I12" s="525">
        <v>246676</v>
      </c>
      <c r="J12" s="512">
        <f>(H12/'Field recov'!J12)+(I12/'Field recov'!K12)</f>
        <v>474417.3913043478</v>
      </c>
      <c r="K12" s="509">
        <f t="shared" si="0"/>
        <v>706683.5869565217</v>
      </c>
      <c r="L12" s="518"/>
      <c r="M12" s="525">
        <v>22673.8</v>
      </c>
      <c r="N12" s="525"/>
      <c r="O12" s="525"/>
      <c r="P12" s="525">
        <v>16.61</v>
      </c>
      <c r="Q12" s="513">
        <f>(P12*29)/('Field recov'!V12*2.2)</f>
        <v>308.3802816901408</v>
      </c>
      <c r="R12" s="525">
        <v>109.2</v>
      </c>
      <c r="S12" s="512">
        <f>(R12*2)/'Field recov'!AA12</f>
        <v>218.4</v>
      </c>
      <c r="T12" s="525">
        <v>922.6</v>
      </c>
      <c r="U12" s="525">
        <v>48594.9</v>
      </c>
      <c r="V12" s="512">
        <f>(T12/'Field recov'!AC12)+(U12/'Field recov'!AD12)</f>
        <v>49517.5</v>
      </c>
      <c r="W12" s="525">
        <v>343.1</v>
      </c>
      <c r="X12" s="525">
        <v>363.3</v>
      </c>
      <c r="Y12" s="540">
        <f>(W12/'Field recov'!AG12)+(X12/'Field recov'!AH12)</f>
        <v>706.4000000000001</v>
      </c>
      <c r="Z12" s="525">
        <v>90129.9</v>
      </c>
      <c r="AA12" s="525">
        <v>125489.7</v>
      </c>
      <c r="AB12" s="512">
        <f>(Z12/'Field recov'!AK12)+(AA12/'Field recov'!AL12)</f>
        <v>215619.59999999998</v>
      </c>
      <c r="AC12" s="540">
        <f t="shared" si="3"/>
        <v>265843.5</v>
      </c>
      <c r="AD12" s="517"/>
      <c r="AE12" s="518"/>
      <c r="AF12" s="518">
        <f t="shared" si="2"/>
        <v>218.4</v>
      </c>
      <c r="AG12" s="518"/>
      <c r="AH12" s="518"/>
      <c r="AI12" s="518"/>
      <c r="AJ12" s="621">
        <v>0.93</v>
      </c>
      <c r="AK12" s="508"/>
      <c r="AL12" s="563"/>
      <c r="AM12" s="508">
        <f t="shared" si="1"/>
        <v>234.83870967741936</v>
      </c>
      <c r="AN12" s="563"/>
      <c r="AO12" s="508"/>
      <c r="AP12" s="508">
        <f t="shared" si="4"/>
        <v>331.59170074208686</v>
      </c>
      <c r="AR12" s="563"/>
    </row>
    <row r="13" spans="1:44" s="538" customFormat="1" ht="12.75">
      <c r="A13" s="542" t="s">
        <v>442</v>
      </c>
      <c r="B13" s="544"/>
      <c r="C13" s="544"/>
      <c r="D13" s="543" t="s">
        <v>110</v>
      </c>
      <c r="E13" s="544"/>
      <c r="F13" s="544"/>
      <c r="G13" s="543" t="s">
        <v>110</v>
      </c>
      <c r="H13" s="544"/>
      <c r="I13" s="544"/>
      <c r="J13" s="543"/>
      <c r="K13" s="545"/>
      <c r="L13" s="545"/>
      <c r="M13" s="546"/>
      <c r="N13" s="544">
        <v>4.2</v>
      </c>
      <c r="O13" s="546"/>
      <c r="P13" s="544">
        <v>41.2</v>
      </c>
      <c r="Q13" s="597">
        <f>(P13*29)/('Field recov'!V13*2)</f>
        <v>597.4000000000001</v>
      </c>
      <c r="R13" s="544">
        <v>45.35</v>
      </c>
      <c r="S13" s="543">
        <f>(R13*2)/'Field recov'!AA13</f>
        <v>90.7</v>
      </c>
      <c r="T13" s="544">
        <v>2547</v>
      </c>
      <c r="U13" s="544">
        <v>569.2</v>
      </c>
      <c r="V13" s="543">
        <f>(T13/'Field recov'!AC13)+(U13/'Field recov'!AD13)</f>
        <v>3116.2</v>
      </c>
      <c r="W13" s="544">
        <v>1058</v>
      </c>
      <c r="X13" s="544">
        <v>512</v>
      </c>
      <c r="Y13" s="547">
        <f>(W13/'Field recov'!AG13)+(X13/'Field recov'!AH13)</f>
        <v>1570</v>
      </c>
      <c r="Z13" s="544">
        <v>18345</v>
      </c>
      <c r="AA13" s="544">
        <v>1178</v>
      </c>
      <c r="AB13" s="543">
        <f>(Z13/'Field recov'!AK13)+(AA13/'Field recov'!AL13)</f>
        <v>19523</v>
      </c>
      <c r="AC13" s="547">
        <f t="shared" si="3"/>
        <v>24209.2</v>
      </c>
      <c r="AD13" s="543"/>
      <c r="AE13" s="545" t="s">
        <v>110</v>
      </c>
      <c r="AF13" s="545">
        <f t="shared" si="2"/>
        <v>90.7</v>
      </c>
      <c r="AG13" s="545"/>
      <c r="AH13" s="545">
        <f>IF(N13&lt;&gt;"",N13/'Field recov'!R13)</f>
        <v>5.3164556962025316</v>
      </c>
      <c r="AI13" s="545"/>
      <c r="AJ13" s="622">
        <v>0.86</v>
      </c>
      <c r="AK13" s="564"/>
      <c r="AL13" s="564" t="s">
        <v>110</v>
      </c>
      <c r="AM13" s="564">
        <f t="shared" si="1"/>
        <v>105.46511627906978</v>
      </c>
      <c r="AN13" s="564"/>
      <c r="AO13" s="564">
        <f aca="true" t="shared" si="5" ref="AO13:AO34">AH13/AJ13</f>
        <v>6.181925228142479</v>
      </c>
      <c r="AP13" s="564">
        <f t="shared" si="4"/>
        <v>694.6511627906978</v>
      </c>
      <c r="AR13" s="564"/>
    </row>
    <row r="14" spans="1:44" ht="12.75">
      <c r="A14" s="511" t="s">
        <v>443</v>
      </c>
      <c r="B14" s="525"/>
      <c r="C14" s="525"/>
      <c r="D14" s="512" t="s">
        <v>110</v>
      </c>
      <c r="E14" s="525"/>
      <c r="F14" s="525"/>
      <c r="G14" s="528" t="s">
        <v>110</v>
      </c>
      <c r="H14" s="525"/>
      <c r="I14" s="525"/>
      <c r="J14" s="512"/>
      <c r="K14" s="509"/>
      <c r="L14" s="518"/>
      <c r="M14" s="525">
        <v>14320</v>
      </c>
      <c r="O14" s="521"/>
      <c r="P14" s="525">
        <v>91.33</v>
      </c>
      <c r="Q14" s="513">
        <f>(P14*29)/('Field recov'!V14*2)</f>
        <v>1539.8662790697676</v>
      </c>
      <c r="R14" s="525">
        <v>146.5</v>
      </c>
      <c r="S14" s="512">
        <f>(R14*2)/'Field recov'!AA14</f>
        <v>293</v>
      </c>
      <c r="T14" s="525">
        <v>48182</v>
      </c>
      <c r="U14" s="525">
        <v>175663</v>
      </c>
      <c r="V14" s="512">
        <f>(T14/'Field recov'!AC14)+(U14/'Field recov'!AD14)</f>
        <v>223845</v>
      </c>
      <c r="W14" s="525">
        <v>51503</v>
      </c>
      <c r="X14" s="525">
        <v>4363</v>
      </c>
      <c r="Y14" s="540">
        <f>(W14/'Field recov'!AG14)+(X14/'Field recov'!AH14)</f>
        <v>55866</v>
      </c>
      <c r="Z14" s="525">
        <v>40451</v>
      </c>
      <c r="AA14" s="525">
        <v>155570</v>
      </c>
      <c r="AB14" s="512">
        <f>(Z14/'Field recov'!AK14)+(AA14/'Field recov'!AL14)</f>
        <v>196021</v>
      </c>
      <c r="AC14" s="540">
        <f t="shared" si="3"/>
        <v>475732</v>
      </c>
      <c r="AD14" s="517"/>
      <c r="AE14" s="518" t="s">
        <v>110</v>
      </c>
      <c r="AF14" s="518">
        <f t="shared" si="2"/>
        <v>293</v>
      </c>
      <c r="AG14" s="518"/>
      <c r="AH14" s="518"/>
      <c r="AI14" s="518"/>
      <c r="AJ14" s="621">
        <v>1.5</v>
      </c>
      <c r="AK14" s="508"/>
      <c r="AL14" s="563" t="s">
        <v>110</v>
      </c>
      <c r="AM14" s="508">
        <f t="shared" si="1"/>
        <v>195.33333333333334</v>
      </c>
      <c r="AN14" s="563"/>
      <c r="AO14" s="508"/>
      <c r="AP14" s="508">
        <f t="shared" si="4"/>
        <v>1026.5775193798452</v>
      </c>
      <c r="AR14" s="563"/>
    </row>
    <row r="15" spans="1:44" ht="12.75">
      <c r="A15" s="511" t="s">
        <v>444</v>
      </c>
      <c r="B15" s="525"/>
      <c r="C15" s="525"/>
      <c r="D15" s="512" t="s">
        <v>110</v>
      </c>
      <c r="E15" s="525"/>
      <c r="F15" s="525"/>
      <c r="G15" s="528" t="s">
        <v>110</v>
      </c>
      <c r="H15" s="525"/>
      <c r="I15" s="525"/>
      <c r="J15" s="512"/>
      <c r="K15" s="509"/>
      <c r="L15" s="518"/>
      <c r="M15" s="525">
        <v>1865</v>
      </c>
      <c r="O15" s="521"/>
      <c r="P15" s="525">
        <v>3.848</v>
      </c>
      <c r="Q15" s="513">
        <f>(P15*29)/('Field recov'!V15*2)</f>
        <v>55.796</v>
      </c>
      <c r="R15" s="525">
        <v>58.78</v>
      </c>
      <c r="S15" s="512">
        <f>(R15*2)/'Field recov'!AA15</f>
        <v>117.56</v>
      </c>
      <c r="T15" s="525">
        <v>11.9</v>
      </c>
      <c r="U15" s="525">
        <v>114</v>
      </c>
      <c r="V15" s="512">
        <f>(T15/'Field recov'!AC15)+(U15/'Field recov'!AD15)</f>
        <v>144.71264367816093</v>
      </c>
      <c r="W15" s="525">
        <v>1541</v>
      </c>
      <c r="X15" s="525">
        <v>90.6</v>
      </c>
      <c r="Y15" s="540">
        <f>(W15/'Field recov'!AG15)+(X15/'Field recov'!AH15)</f>
        <v>1645.1379310344828</v>
      </c>
      <c r="Z15" s="525">
        <v>1884.8</v>
      </c>
      <c r="AA15" s="525">
        <v>704</v>
      </c>
      <c r="AB15" s="512">
        <f>(Z15/'Field recov'!AK15)+(AA15/'Field recov'!AL15)</f>
        <v>2588.8</v>
      </c>
      <c r="AC15" s="540">
        <f t="shared" si="3"/>
        <v>4378.650574712644</v>
      </c>
      <c r="AD15" s="517"/>
      <c r="AE15" s="518" t="s">
        <v>110</v>
      </c>
      <c r="AF15" s="518">
        <f t="shared" si="2"/>
        <v>117.56</v>
      </c>
      <c r="AG15" s="518"/>
      <c r="AH15" s="518"/>
      <c r="AI15" s="518"/>
      <c r="AJ15" s="621">
        <v>0.6</v>
      </c>
      <c r="AK15" s="508"/>
      <c r="AL15" s="563" t="s">
        <v>110</v>
      </c>
      <c r="AM15" s="508">
        <f t="shared" si="1"/>
        <v>195.93333333333334</v>
      </c>
      <c r="AN15" s="563"/>
      <c r="AO15" s="508"/>
      <c r="AP15" s="508">
        <f t="shared" si="4"/>
        <v>92.99333333333334</v>
      </c>
      <c r="AR15" s="563"/>
    </row>
    <row r="16" spans="1:44" ht="12.75">
      <c r="A16" s="511" t="s">
        <v>445</v>
      </c>
      <c r="B16" s="525"/>
      <c r="C16" s="525"/>
      <c r="D16" s="512" t="s">
        <v>110</v>
      </c>
      <c r="E16" s="525"/>
      <c r="F16" s="525"/>
      <c r="G16" s="528" t="s">
        <v>110</v>
      </c>
      <c r="H16" s="525"/>
      <c r="I16" s="525"/>
      <c r="J16" s="512"/>
      <c r="K16" s="509"/>
      <c r="L16" s="518"/>
      <c r="M16" s="525">
        <v>1805.8</v>
      </c>
      <c r="O16" s="521"/>
      <c r="P16" s="525">
        <v>113.4</v>
      </c>
      <c r="Q16" s="513">
        <f>(P16*29)/('Field recov'!V16*1.95)</f>
        <v>1961.0017889087658</v>
      </c>
      <c r="R16" s="525">
        <v>25.1</v>
      </c>
      <c r="S16" s="512">
        <f>(R16*2)/'Field recov'!AA16</f>
        <v>50.2</v>
      </c>
      <c r="T16" s="525">
        <v>15276</v>
      </c>
      <c r="U16" s="525">
        <v>22890</v>
      </c>
      <c r="V16" s="512">
        <f>(T16/'Field recov'!AC16)+(U16/'Field recov'!AD16)</f>
        <v>38166</v>
      </c>
      <c r="W16" s="525">
        <v>10383</v>
      </c>
      <c r="X16" s="525">
        <v>4899</v>
      </c>
      <c r="Y16" s="540">
        <f>(W16/'Field recov'!AG16)+(X16/'Field recov'!AH16)</f>
        <v>15282</v>
      </c>
      <c r="Z16" s="525">
        <v>38421</v>
      </c>
      <c r="AA16" s="525">
        <v>50050</v>
      </c>
      <c r="AB16" s="512">
        <f>(Z16/'Field recov'!AK16)+(AA16/'Field recov'!AL16)</f>
        <v>88471</v>
      </c>
      <c r="AC16" s="540">
        <f t="shared" si="3"/>
        <v>141919</v>
      </c>
      <c r="AD16" s="517"/>
      <c r="AE16" s="518" t="s">
        <v>110</v>
      </c>
      <c r="AF16" s="518">
        <f t="shared" si="2"/>
        <v>50.2</v>
      </c>
      <c r="AG16" s="518"/>
      <c r="AH16" s="518"/>
      <c r="AI16" s="518"/>
      <c r="AJ16" s="621">
        <v>0.5</v>
      </c>
      <c r="AK16" s="508"/>
      <c r="AL16" s="563" t="s">
        <v>110</v>
      </c>
      <c r="AM16" s="508">
        <f t="shared" si="1"/>
        <v>100.4</v>
      </c>
      <c r="AN16" s="563"/>
      <c r="AO16" s="508"/>
      <c r="AP16" s="508">
        <f t="shared" si="4"/>
        <v>3922.0035778175315</v>
      </c>
      <c r="AR16" s="563"/>
    </row>
    <row r="17" spans="1:44" ht="12.75">
      <c r="A17" s="511" t="s">
        <v>446</v>
      </c>
      <c r="B17" s="525"/>
      <c r="C17" s="525"/>
      <c r="D17" s="512" t="s">
        <v>110</v>
      </c>
      <c r="E17" s="525"/>
      <c r="F17" s="525"/>
      <c r="G17" s="528" t="s">
        <v>110</v>
      </c>
      <c r="H17" s="525"/>
      <c r="I17" s="525"/>
      <c r="J17" s="512"/>
      <c r="K17" s="509"/>
      <c r="L17" s="518"/>
      <c r="M17" s="525">
        <v>2163.2</v>
      </c>
      <c r="O17" s="521"/>
      <c r="P17" s="525">
        <v>12.6</v>
      </c>
      <c r="Q17" s="513">
        <f>(P17*29)/('Field recov'!V17*2.1)</f>
        <v>173.99999999999997</v>
      </c>
      <c r="R17" s="525">
        <v>11.1</v>
      </c>
      <c r="S17" s="512">
        <f>(R17*2)/'Field recov'!AA17</f>
        <v>22.2</v>
      </c>
      <c r="T17" s="525">
        <v>9164</v>
      </c>
      <c r="U17" s="525">
        <v>13291</v>
      </c>
      <c r="V17" s="512">
        <f>(T17/'Field recov'!AC17)+(U17/'Field recov'!AD17)</f>
        <v>22455</v>
      </c>
      <c r="W17" s="525">
        <v>27902</v>
      </c>
      <c r="X17" s="525">
        <v>2641</v>
      </c>
      <c r="Y17" s="540">
        <f>(W17/'Field recov'!AG17)+(X17/'Field recov'!AH17)</f>
        <v>30543</v>
      </c>
      <c r="Z17" s="525">
        <v>41764</v>
      </c>
      <c r="AA17" s="525">
        <v>40549</v>
      </c>
      <c r="AB17" s="512">
        <f>(Z17/'Field recov'!AK17)+(AA17/'Field recov'!AL17)</f>
        <v>82313</v>
      </c>
      <c r="AC17" s="540">
        <f t="shared" si="3"/>
        <v>135311</v>
      </c>
      <c r="AD17" s="517"/>
      <c r="AE17" s="518" t="s">
        <v>110</v>
      </c>
      <c r="AF17" s="518">
        <f t="shared" si="2"/>
        <v>22.2</v>
      </c>
      <c r="AG17" s="518"/>
      <c r="AH17" s="518"/>
      <c r="AI17" s="518"/>
      <c r="AJ17" s="621">
        <v>0.7</v>
      </c>
      <c r="AK17" s="508"/>
      <c r="AL17" s="563" t="s">
        <v>110</v>
      </c>
      <c r="AM17" s="508">
        <f t="shared" si="1"/>
        <v>31.714285714285715</v>
      </c>
      <c r="AN17" s="563"/>
      <c r="AO17" s="508"/>
      <c r="AP17" s="508">
        <f t="shared" si="4"/>
        <v>248.57142857142856</v>
      </c>
      <c r="AR17" s="563"/>
    </row>
    <row r="18" spans="1:44" ht="12.75">
      <c r="A18" s="511" t="s">
        <v>447</v>
      </c>
      <c r="B18" s="525"/>
      <c r="C18" s="525"/>
      <c r="D18" s="512" t="s">
        <v>110</v>
      </c>
      <c r="E18" s="525"/>
      <c r="F18" s="525"/>
      <c r="G18" s="528" t="s">
        <v>110</v>
      </c>
      <c r="H18" s="525"/>
      <c r="I18" s="525"/>
      <c r="J18" s="512"/>
      <c r="K18" s="509"/>
      <c r="L18" s="518"/>
      <c r="M18" s="525">
        <v>1977.1</v>
      </c>
      <c r="O18" s="521"/>
      <c r="P18" s="525">
        <v>23.75</v>
      </c>
      <c r="Q18" s="513">
        <f>(P18*29)/('Field recov'!V18*2.1)</f>
        <v>327.9761904761905</v>
      </c>
      <c r="R18" s="525">
        <v>3953</v>
      </c>
      <c r="S18" s="512">
        <f>(R18*2)/'Field recov'!AA18</f>
        <v>7906</v>
      </c>
      <c r="T18" s="525">
        <v>432</v>
      </c>
      <c r="U18" s="525">
        <v>2229</v>
      </c>
      <c r="V18" s="512">
        <f>(T18/'Field recov'!AC18)+(U18/'Field recov'!AD18)</f>
        <v>2661</v>
      </c>
      <c r="W18" s="525">
        <v>1214</v>
      </c>
      <c r="X18" s="525">
        <v>503</v>
      </c>
      <c r="Y18" s="540">
        <f>(W18/'Field recov'!AG18)+(X18/'Field recov'!AH18)</f>
        <v>1717</v>
      </c>
      <c r="Z18" s="525">
        <v>20958</v>
      </c>
      <c r="AA18" s="525">
        <v>4215</v>
      </c>
      <c r="AB18" s="512">
        <f>(Z18/'Field recov'!AK18)+(AA18/'Field recov'!AL18)</f>
        <v>25173</v>
      </c>
      <c r="AC18" s="540">
        <f t="shared" si="3"/>
        <v>29551</v>
      </c>
      <c r="AD18" s="517"/>
      <c r="AE18" s="518" t="s">
        <v>110</v>
      </c>
      <c r="AF18" s="518">
        <f t="shared" si="2"/>
        <v>7906</v>
      </c>
      <c r="AG18" s="518"/>
      <c r="AH18" s="518"/>
      <c r="AI18" s="518"/>
      <c r="AJ18" s="621">
        <v>0.6</v>
      </c>
      <c r="AK18" s="508"/>
      <c r="AL18" s="563" t="s">
        <v>110</v>
      </c>
      <c r="AM18" s="508">
        <f t="shared" si="1"/>
        <v>13176.666666666668</v>
      </c>
      <c r="AN18" s="563"/>
      <c r="AO18" s="508"/>
      <c r="AP18" s="508">
        <f t="shared" si="4"/>
        <v>546.6269841269842</v>
      </c>
      <c r="AR18" s="563"/>
    </row>
    <row r="19" spans="1:44" s="538" customFormat="1" ht="12.75">
      <c r="A19" s="542" t="s">
        <v>448</v>
      </c>
      <c r="B19" s="544"/>
      <c r="C19" s="544"/>
      <c r="D19" s="543" t="s">
        <v>110</v>
      </c>
      <c r="E19" s="544"/>
      <c r="F19" s="544"/>
      <c r="G19" s="543" t="s">
        <v>110</v>
      </c>
      <c r="H19" s="544"/>
      <c r="I19" s="544"/>
      <c r="J19" s="543"/>
      <c r="K19" s="545"/>
      <c r="L19" s="545"/>
      <c r="M19" s="546"/>
      <c r="N19" s="544">
        <v>73.7</v>
      </c>
      <c r="O19" s="546"/>
      <c r="P19" s="544">
        <v>12.5</v>
      </c>
      <c r="Q19" s="597">
        <f>(P19*29)/('Field recov'!V19*2)</f>
        <v>181.25</v>
      </c>
      <c r="R19" s="544">
        <v>5.4</v>
      </c>
      <c r="S19" s="543">
        <f>(R19*2)/'Field recov'!AA19</f>
        <v>10.8</v>
      </c>
      <c r="T19" s="544">
        <v>8</v>
      </c>
      <c r="U19" s="544">
        <v>11</v>
      </c>
      <c r="V19" s="543">
        <f>(T19/'Field recov'!AC19)+(U19/'Field recov'!AD19)</f>
        <v>21.839080459770116</v>
      </c>
      <c r="W19" s="544">
        <v>47.1</v>
      </c>
      <c r="X19" s="544">
        <v>32.4</v>
      </c>
      <c r="Y19" s="547">
        <f>(W19/'Field recov'!AG19)+(X19/'Field recov'!AH19)</f>
        <v>91.37931034482759</v>
      </c>
      <c r="Z19" s="544">
        <v>7.9</v>
      </c>
      <c r="AA19" s="544">
        <v>6.7</v>
      </c>
      <c r="AB19" s="543">
        <f>(Z19/'Field recov'!AK19)+(AA19/'Field recov'!AL19)</f>
        <v>16.7816091954023</v>
      </c>
      <c r="AC19" s="547">
        <f t="shared" si="3"/>
        <v>130</v>
      </c>
      <c r="AD19" s="543"/>
      <c r="AE19" s="545" t="s">
        <v>110</v>
      </c>
      <c r="AF19" s="545">
        <f t="shared" si="2"/>
        <v>10.8</v>
      </c>
      <c r="AG19" s="545">
        <f aca="true" t="shared" si="6" ref="AG19:AG44">AC19</f>
        <v>130</v>
      </c>
      <c r="AH19" s="545">
        <f>IF(N19&lt;&gt;"",N19/'Field recov'!R19)</f>
        <v>93.29113924050633</v>
      </c>
      <c r="AI19" s="545"/>
      <c r="AJ19" s="622">
        <v>0.65</v>
      </c>
      <c r="AK19" s="564"/>
      <c r="AL19" s="564" t="s">
        <v>110</v>
      </c>
      <c r="AM19" s="564">
        <f t="shared" si="1"/>
        <v>16.615384615384617</v>
      </c>
      <c r="AN19" s="564">
        <f aca="true" t="shared" si="7" ref="AN19:AN44">IF(AG19&lt;&gt;"",AG19/AJ19)</f>
        <v>200</v>
      </c>
      <c r="AO19" s="564">
        <f t="shared" si="5"/>
        <v>143.52482960077896</v>
      </c>
      <c r="AP19" s="564">
        <f t="shared" si="4"/>
        <v>278.8461538461538</v>
      </c>
      <c r="AR19" s="564"/>
    </row>
    <row r="20" spans="1:44" ht="12.75">
      <c r="A20" s="511" t="s">
        <v>449</v>
      </c>
      <c r="B20" s="525"/>
      <c r="C20" s="525"/>
      <c r="D20" s="512" t="s">
        <v>110</v>
      </c>
      <c r="E20" s="525"/>
      <c r="F20" s="525"/>
      <c r="G20" s="528" t="s">
        <v>110</v>
      </c>
      <c r="H20" s="525"/>
      <c r="I20" s="525"/>
      <c r="J20" s="512"/>
      <c r="K20" s="509"/>
      <c r="L20" s="518"/>
      <c r="M20" s="520"/>
      <c r="N20" s="525">
        <v>9.3</v>
      </c>
      <c r="O20" s="521"/>
      <c r="P20" s="525">
        <v>24.8</v>
      </c>
      <c r="Q20" s="513">
        <f>(P20*29)/('Field recov'!V20*2)</f>
        <v>359.6</v>
      </c>
      <c r="R20" s="525">
        <v>14.8</v>
      </c>
      <c r="S20" s="512">
        <f>(R20*2)/'Field recov'!AA20</f>
        <v>29.6</v>
      </c>
      <c r="T20" s="525">
        <v>13.4</v>
      </c>
      <c r="U20" s="525">
        <v>118</v>
      </c>
      <c r="V20" s="512">
        <f>(T20/'Field recov'!AC20)+(U20/'Field recov'!AD20)</f>
        <v>151.0344827586207</v>
      </c>
      <c r="W20" s="525">
        <v>89.2</v>
      </c>
      <c r="X20" s="525">
        <v>95.7</v>
      </c>
      <c r="Y20" s="540">
        <f>(W20/'Field recov'!AG20)+(X20/'Field recov'!AH20)</f>
        <v>212.5287356321839</v>
      </c>
      <c r="Z20" s="525">
        <v>24.7</v>
      </c>
      <c r="AA20" s="525">
        <v>9.5</v>
      </c>
      <c r="AB20" s="512">
        <f>(Z20/'Field recov'!AK20)+(AA20/'Field recov'!AL20)</f>
        <v>39.310344827586206</v>
      </c>
      <c r="AC20" s="540">
        <f t="shared" si="3"/>
        <v>402.8735632183908</v>
      </c>
      <c r="AD20" s="517"/>
      <c r="AE20" s="518" t="s">
        <v>110</v>
      </c>
      <c r="AF20" s="518">
        <f t="shared" si="2"/>
        <v>29.6</v>
      </c>
      <c r="AG20" s="518">
        <f t="shared" si="6"/>
        <v>402.8735632183908</v>
      </c>
      <c r="AH20" s="518">
        <f>IF(N20&lt;&gt;"",N20/'Field recov'!R20)</f>
        <v>11.772151898734178</v>
      </c>
      <c r="AI20" s="518"/>
      <c r="AJ20" s="621">
        <v>0.55</v>
      </c>
      <c r="AK20" s="508"/>
      <c r="AL20" s="563" t="s">
        <v>110</v>
      </c>
      <c r="AM20" s="508">
        <f t="shared" si="1"/>
        <v>53.81818181818181</v>
      </c>
      <c r="AN20" s="508">
        <f t="shared" si="7"/>
        <v>732.4973876698015</v>
      </c>
      <c r="AO20" s="508">
        <f t="shared" si="5"/>
        <v>21.403912543153048</v>
      </c>
      <c r="AP20" s="508">
        <f t="shared" si="4"/>
        <v>653.8181818181818</v>
      </c>
      <c r="AR20" s="563"/>
    </row>
    <row r="21" spans="1:44" ht="12.75">
      <c r="A21" s="511" t="s">
        <v>450</v>
      </c>
      <c r="B21" s="525"/>
      <c r="C21" s="525"/>
      <c r="D21" s="512" t="s">
        <v>110</v>
      </c>
      <c r="E21" s="525"/>
      <c r="F21" s="525"/>
      <c r="G21" s="528" t="s">
        <v>110</v>
      </c>
      <c r="H21" s="525"/>
      <c r="I21" s="525"/>
      <c r="J21" s="512"/>
      <c r="K21" s="509"/>
      <c r="L21" s="518"/>
      <c r="M21" s="520"/>
      <c r="N21" s="525">
        <v>72.3</v>
      </c>
      <c r="O21" s="521"/>
      <c r="P21" s="525">
        <v>21.9</v>
      </c>
      <c r="Q21" s="513">
        <f>(P21*29)/('Field recov'!V21*2.25)</f>
        <v>282.26666666666665</v>
      </c>
      <c r="R21" s="525">
        <v>448.9</v>
      </c>
      <c r="S21" s="512">
        <f>(R21*2)/'Field recov'!AA21</f>
        <v>897.8</v>
      </c>
      <c r="T21" s="525">
        <v>90.2</v>
      </c>
      <c r="U21" s="525">
        <v>262.9</v>
      </c>
      <c r="V21" s="512">
        <f>(T21/'Field recov'!AC21)+(U21/'Field recov'!AD21)</f>
        <v>405.8620689655172</v>
      </c>
      <c r="W21" s="525">
        <v>589.6</v>
      </c>
      <c r="X21" s="525">
        <v>507.3</v>
      </c>
      <c r="Y21" s="540">
        <f>(W21/'Field recov'!AG21)+(X21/'Field recov'!AH21)</f>
        <v>1096.9</v>
      </c>
      <c r="Z21" s="525">
        <v>62.7</v>
      </c>
      <c r="AA21" s="525">
        <v>30.1</v>
      </c>
      <c r="AB21" s="512">
        <f>(Z21/'Field recov'!AK21)+(AA21/'Field recov'!AL21)</f>
        <v>106.66666666666667</v>
      </c>
      <c r="AC21" s="540">
        <f t="shared" si="3"/>
        <v>1609.428735632184</v>
      </c>
      <c r="AD21" s="517"/>
      <c r="AE21" s="518" t="s">
        <v>110</v>
      </c>
      <c r="AF21" s="518">
        <f t="shared" si="2"/>
        <v>897.8</v>
      </c>
      <c r="AG21" s="518">
        <f t="shared" si="6"/>
        <v>1609.428735632184</v>
      </c>
      <c r="AH21" s="518">
        <f>IF(N21&lt;&gt;"",N21/'Field recov'!R21)</f>
        <v>91.51898734177215</v>
      </c>
      <c r="AI21" s="518"/>
      <c r="AJ21" s="621">
        <v>0.94</v>
      </c>
      <c r="AK21" s="508"/>
      <c r="AL21" s="563" t="s">
        <v>110</v>
      </c>
      <c r="AM21" s="508">
        <f t="shared" si="1"/>
        <v>955.1063829787234</v>
      </c>
      <c r="AN21" s="508">
        <f t="shared" si="7"/>
        <v>1712.1582293959407</v>
      </c>
      <c r="AO21" s="508">
        <f t="shared" si="5"/>
        <v>97.3606248316725</v>
      </c>
      <c r="AP21" s="508">
        <f t="shared" si="4"/>
        <v>300.2836879432624</v>
      </c>
      <c r="AR21" s="563"/>
    </row>
    <row r="22" spans="1:44" ht="12.75">
      <c r="A22" s="511" t="s">
        <v>451</v>
      </c>
      <c r="B22" s="525"/>
      <c r="C22" s="525"/>
      <c r="D22" s="512" t="s">
        <v>110</v>
      </c>
      <c r="E22" s="525"/>
      <c r="F22" s="525"/>
      <c r="G22" s="528" t="s">
        <v>110</v>
      </c>
      <c r="H22" s="525"/>
      <c r="I22" s="525"/>
      <c r="J22" s="512"/>
      <c r="K22" s="509"/>
      <c r="L22" s="518"/>
      <c r="M22" s="520"/>
      <c r="N22" s="525">
        <v>997.8</v>
      </c>
      <c r="O22" s="521"/>
      <c r="P22" s="525">
        <v>28</v>
      </c>
      <c r="Q22" s="513">
        <f>(P22*29)/('Field recov'!V22*2)</f>
        <v>406</v>
      </c>
      <c r="R22" s="525">
        <v>143.2</v>
      </c>
      <c r="S22" s="512">
        <f>(R22*2)/'Field recov'!AA22</f>
        <v>286.4</v>
      </c>
      <c r="T22" s="525">
        <v>32.2</v>
      </c>
      <c r="U22" s="525">
        <v>923</v>
      </c>
      <c r="V22" s="512">
        <f>(T22/'Field recov'!AC22)+(U22/'Field recov'!AD22)</f>
        <v>960.0114942528736</v>
      </c>
      <c r="W22" s="525">
        <v>530.2</v>
      </c>
      <c r="X22" s="525">
        <v>266.9</v>
      </c>
      <c r="Y22" s="540">
        <f>(W22/'Field recov'!AG22)+(X22/'Field recov'!AH22)</f>
        <v>836.9816091954024</v>
      </c>
      <c r="Z22" s="525">
        <v>85.8</v>
      </c>
      <c r="AA22" s="525">
        <v>27</v>
      </c>
      <c r="AB22" s="512">
        <f>(Z22/'Field recov'!AK22)+(AA22/'Field recov'!AL22)</f>
        <v>129.6551724137931</v>
      </c>
      <c r="AC22" s="540">
        <f t="shared" si="3"/>
        <v>1926.648275862069</v>
      </c>
      <c r="AD22" s="517"/>
      <c r="AE22" s="518" t="s">
        <v>110</v>
      </c>
      <c r="AF22" s="518">
        <f t="shared" si="2"/>
        <v>286.4</v>
      </c>
      <c r="AG22" s="518">
        <f t="shared" si="6"/>
        <v>1926.648275862069</v>
      </c>
      <c r="AH22" s="518">
        <f>IF(N22&lt;&gt;"",N22/'Field recov'!R22)</f>
        <v>1263.0379746835442</v>
      </c>
      <c r="AI22" s="518"/>
      <c r="AJ22" s="621">
        <v>0.94</v>
      </c>
      <c r="AK22" s="508"/>
      <c r="AL22" s="563" t="s">
        <v>110</v>
      </c>
      <c r="AM22" s="508">
        <f t="shared" si="1"/>
        <v>304.6808510638298</v>
      </c>
      <c r="AN22" s="508">
        <f t="shared" si="7"/>
        <v>2049.62582538518</v>
      </c>
      <c r="AO22" s="508">
        <f t="shared" si="5"/>
        <v>1343.657419876111</v>
      </c>
      <c r="AP22" s="508">
        <f t="shared" si="4"/>
        <v>431.9148936170213</v>
      </c>
      <c r="AR22" s="563"/>
    </row>
    <row r="23" spans="1:44" ht="12.75">
      <c r="A23" s="511" t="s">
        <v>452</v>
      </c>
      <c r="B23" s="525"/>
      <c r="C23" s="525"/>
      <c r="D23" s="512" t="s">
        <v>110</v>
      </c>
      <c r="E23" s="525"/>
      <c r="F23" s="525"/>
      <c r="G23" s="528" t="s">
        <v>110</v>
      </c>
      <c r="H23" s="525"/>
      <c r="I23" s="525"/>
      <c r="J23" s="512"/>
      <c r="K23" s="509"/>
      <c r="L23" s="518"/>
      <c r="M23" s="520"/>
      <c r="N23" s="525">
        <v>468.7</v>
      </c>
      <c r="O23" s="521"/>
      <c r="P23" s="525">
        <v>32.5</v>
      </c>
      <c r="Q23" s="513">
        <f>(P23*29)/('Field recov'!V23*2)</f>
        <v>471.25</v>
      </c>
      <c r="R23" s="525"/>
      <c r="S23" s="512">
        <f>(R23*2)/'Field recov'!AA23</f>
        <v>0</v>
      </c>
      <c r="T23" s="525">
        <v>15.9</v>
      </c>
      <c r="U23" s="525">
        <v>4.4</v>
      </c>
      <c r="V23" s="512">
        <f>(T23/'Field recov'!AC23)+(U23/'Field recov'!AD23)</f>
        <v>23.333333333333332</v>
      </c>
      <c r="W23" s="525">
        <v>114.7</v>
      </c>
      <c r="X23" s="525">
        <v>155.4</v>
      </c>
      <c r="Y23" s="540">
        <f>(W23/'Field recov'!AG23)+(X23/'Field recov'!AH23)</f>
        <v>310.45977011494256</v>
      </c>
      <c r="Z23" s="525">
        <v>71.1</v>
      </c>
      <c r="AA23" s="525">
        <v>91.5</v>
      </c>
      <c r="AB23" s="512">
        <f>(Z23/'Field recov'!AK23)+(AA23/'Field recov'!AL23)</f>
        <v>186.8965517241379</v>
      </c>
      <c r="AC23" s="540">
        <f t="shared" si="3"/>
        <v>520.6896551724137</v>
      </c>
      <c r="AD23" s="517"/>
      <c r="AE23" s="518" t="s">
        <v>110</v>
      </c>
      <c r="AF23" s="518">
        <f t="shared" si="2"/>
        <v>0</v>
      </c>
      <c r="AG23" s="518">
        <f t="shared" si="6"/>
        <v>520.6896551724137</v>
      </c>
      <c r="AH23" s="518">
        <f>IF(N23&lt;&gt;"",N23/'Field recov'!R23)</f>
        <v>593.2911392405063</v>
      </c>
      <c r="AI23" s="518"/>
      <c r="AJ23" s="621">
        <v>0.63</v>
      </c>
      <c r="AK23" s="508"/>
      <c r="AL23" s="563" t="s">
        <v>110</v>
      </c>
      <c r="AM23" s="508"/>
      <c r="AN23" s="508">
        <f t="shared" si="7"/>
        <v>826.4915161466885</v>
      </c>
      <c r="AO23" s="508">
        <f t="shared" si="5"/>
        <v>941.7319670484226</v>
      </c>
      <c r="AP23" s="508">
        <f t="shared" si="4"/>
        <v>748.015873015873</v>
      </c>
      <c r="AR23" s="563"/>
    </row>
    <row r="24" spans="1:44" ht="12.75">
      <c r="A24" s="511" t="s">
        <v>453</v>
      </c>
      <c r="B24" s="525"/>
      <c r="C24" s="525"/>
      <c r="D24" s="512" t="s">
        <v>110</v>
      </c>
      <c r="E24" s="525"/>
      <c r="F24" s="525"/>
      <c r="G24" s="528" t="s">
        <v>110</v>
      </c>
      <c r="H24" s="525"/>
      <c r="I24" s="525"/>
      <c r="J24" s="512"/>
      <c r="K24" s="509"/>
      <c r="L24" s="518"/>
      <c r="M24" s="520"/>
      <c r="N24" s="525">
        <v>429.8</v>
      </c>
      <c r="O24" s="521"/>
      <c r="P24" s="525">
        <v>45.9</v>
      </c>
      <c r="Q24" s="513">
        <f>(P24*29)/('Field recov'!V24*2)</f>
        <v>665.55</v>
      </c>
      <c r="R24" s="525">
        <v>591.1</v>
      </c>
      <c r="S24" s="512">
        <f>(R24*2)/'Field recov'!AA24</f>
        <v>1182.2</v>
      </c>
      <c r="T24" s="525">
        <v>39.1</v>
      </c>
      <c r="U24" s="525">
        <v>29.5</v>
      </c>
      <c r="V24" s="512">
        <f>(T24/'Field recov'!AC24)+(U24/'Field recov'!AD24)</f>
        <v>78.85057471264369</v>
      </c>
      <c r="W24" s="525">
        <v>298.3</v>
      </c>
      <c r="X24" s="525">
        <v>333.1</v>
      </c>
      <c r="Y24" s="540">
        <f>(W24/'Field recov'!AG24)+(X24/'Field recov'!AH24)</f>
        <v>725.7471264367816</v>
      </c>
      <c r="Z24" s="525">
        <v>197.3</v>
      </c>
      <c r="AA24" s="525">
        <v>210.1</v>
      </c>
      <c r="AB24" s="512">
        <f>(Z24/'Field recov'!AK24)+(AA24/'Field recov'!AL24)</f>
        <v>468.2758620689656</v>
      </c>
      <c r="AC24" s="540">
        <f t="shared" si="3"/>
        <v>1272.873563218391</v>
      </c>
      <c r="AD24" s="517"/>
      <c r="AE24" s="518" t="s">
        <v>110</v>
      </c>
      <c r="AF24" s="518">
        <f t="shared" si="2"/>
        <v>1182.2</v>
      </c>
      <c r="AG24" s="518">
        <f t="shared" si="6"/>
        <v>1272.873563218391</v>
      </c>
      <c r="AH24" s="518">
        <f>IF(N24&lt;&gt;"",N24/'Field recov'!R24)</f>
        <v>544.0506329113924</v>
      </c>
      <c r="AI24" s="518"/>
      <c r="AJ24" s="621">
        <v>0.5</v>
      </c>
      <c r="AK24" s="508"/>
      <c r="AL24" s="563" t="s">
        <v>110</v>
      </c>
      <c r="AM24" s="508">
        <f aca="true" t="shared" si="8" ref="AM24:AM44">AF24/AJ24</f>
        <v>2364.4</v>
      </c>
      <c r="AN24" s="508">
        <f t="shared" si="7"/>
        <v>2545.747126436782</v>
      </c>
      <c r="AO24" s="508">
        <f t="shared" si="5"/>
        <v>1088.1012658227849</v>
      </c>
      <c r="AP24" s="508">
        <f t="shared" si="4"/>
        <v>1331.1</v>
      </c>
      <c r="AR24" s="563"/>
    </row>
    <row r="25" spans="1:44" ht="12.75">
      <c r="A25" s="511" t="s">
        <v>454</v>
      </c>
      <c r="B25" s="525"/>
      <c r="C25" s="525"/>
      <c r="D25" s="512" t="s">
        <v>110</v>
      </c>
      <c r="E25" s="525"/>
      <c r="F25" s="525"/>
      <c r="G25" s="528" t="s">
        <v>110</v>
      </c>
      <c r="H25" s="525"/>
      <c r="I25" s="525"/>
      <c r="J25" s="512"/>
      <c r="K25" s="509"/>
      <c r="L25" s="518"/>
      <c r="M25" s="525">
        <v>8443.7</v>
      </c>
      <c r="O25" s="521"/>
      <c r="P25" s="525">
        <v>21.5</v>
      </c>
      <c r="Q25" s="513">
        <f>(P25*29)/('Field recov'!V25*2)</f>
        <v>311.75</v>
      </c>
      <c r="R25" s="525">
        <v>3711.8</v>
      </c>
      <c r="S25" s="512">
        <f>(R25*2)/'Field recov'!AA25</f>
        <v>7423.6</v>
      </c>
      <c r="T25" s="525">
        <v>66.6</v>
      </c>
      <c r="U25" s="525">
        <v>56.5</v>
      </c>
      <c r="V25" s="512">
        <f>(T25/'Field recov'!AC25)+(U25/'Field recov'!AD25)</f>
        <v>141.4942528735632</v>
      </c>
      <c r="W25" s="525">
        <v>366.2</v>
      </c>
      <c r="X25" s="525">
        <v>3735.1</v>
      </c>
      <c r="Y25" s="540">
        <f>(W25/'Field recov'!AG25)+(X25/'Field recov'!AH25)</f>
        <v>4101.3</v>
      </c>
      <c r="Z25" s="525">
        <v>10.1</v>
      </c>
      <c r="AA25" s="525">
        <v>13</v>
      </c>
      <c r="AB25" s="512">
        <f>(Z25/'Field recov'!AK25)+(AA25/'Field recov'!AL25)</f>
        <v>26.551724137931032</v>
      </c>
      <c r="AC25" s="540">
        <f t="shared" si="3"/>
        <v>4269.345977011494</v>
      </c>
      <c r="AD25" s="517"/>
      <c r="AE25" s="518" t="s">
        <v>110</v>
      </c>
      <c r="AF25" s="518">
        <f t="shared" si="2"/>
        <v>7423.6</v>
      </c>
      <c r="AG25" s="518">
        <f t="shared" si="6"/>
        <v>4269.345977011494</v>
      </c>
      <c r="AH25" s="518"/>
      <c r="AI25" s="518"/>
      <c r="AJ25" s="621">
        <v>0.86</v>
      </c>
      <c r="AK25" s="508"/>
      <c r="AL25" s="563" t="s">
        <v>110</v>
      </c>
      <c r="AM25" s="508">
        <f t="shared" si="8"/>
        <v>8632.093023255815</v>
      </c>
      <c r="AN25" s="508">
        <f t="shared" si="7"/>
        <v>4964.3557872226675</v>
      </c>
      <c r="AO25" s="508"/>
      <c r="AP25" s="508">
        <f t="shared" si="4"/>
        <v>362.5</v>
      </c>
      <c r="AR25" s="563"/>
    </row>
    <row r="26" spans="1:44" ht="12.75">
      <c r="A26" s="511" t="s">
        <v>455</v>
      </c>
      <c r="B26" s="525"/>
      <c r="C26" s="525"/>
      <c r="D26" s="512" t="s">
        <v>110</v>
      </c>
      <c r="E26" s="525"/>
      <c r="F26" s="525"/>
      <c r="G26" s="528" t="s">
        <v>110</v>
      </c>
      <c r="H26" s="525"/>
      <c r="I26" s="525"/>
      <c r="J26" s="512"/>
      <c r="K26" s="509"/>
      <c r="L26" s="518"/>
      <c r="M26" s="525">
        <v>4714.6</v>
      </c>
      <c r="O26" s="521"/>
      <c r="P26" s="525">
        <v>5.5</v>
      </c>
      <c r="Q26" s="513">
        <f>(P26*29)/('Field recov'!V26*2.1)</f>
        <v>75.95238095238095</v>
      </c>
      <c r="R26" s="525">
        <v>211</v>
      </c>
      <c r="S26" s="512">
        <f>(R26*2)/'Field recov'!AA26</f>
        <v>422</v>
      </c>
      <c r="T26" s="525">
        <v>21.7</v>
      </c>
      <c r="U26" s="525">
        <v>159</v>
      </c>
      <c r="V26" s="512">
        <f>(T26/'Field recov'!AC26)+(U26/'Field recov'!AD26)</f>
        <v>207.70114942528735</v>
      </c>
      <c r="W26" s="525">
        <v>130.6</v>
      </c>
      <c r="X26" s="525">
        <v>68.3</v>
      </c>
      <c r="Y26" s="540">
        <f>(W26/'Field recov'!AG26)+(X26/'Field recov'!AH26)</f>
        <v>228.6206896551724</v>
      </c>
      <c r="Z26" s="525">
        <v>7.9</v>
      </c>
      <c r="AA26" s="525">
        <v>33.6</v>
      </c>
      <c r="AB26" s="512">
        <f>(Z26/'Field recov'!AK26)+(AA26/'Field recov'!AL26)</f>
        <v>47.701149425287355</v>
      </c>
      <c r="AC26" s="540">
        <f t="shared" si="3"/>
        <v>484.0229885057471</v>
      </c>
      <c r="AD26" s="517"/>
      <c r="AE26" s="518" t="s">
        <v>110</v>
      </c>
      <c r="AF26" s="518">
        <f t="shared" si="2"/>
        <v>422</v>
      </c>
      <c r="AG26" s="518">
        <f t="shared" si="6"/>
        <v>484.0229885057471</v>
      </c>
      <c r="AH26" s="518"/>
      <c r="AI26" s="518"/>
      <c r="AJ26" s="621">
        <v>0.79</v>
      </c>
      <c r="AK26" s="508"/>
      <c r="AL26" s="563" t="s">
        <v>110</v>
      </c>
      <c r="AM26" s="508">
        <f t="shared" si="8"/>
        <v>534.1772151898734</v>
      </c>
      <c r="AN26" s="508">
        <f t="shared" si="7"/>
        <v>612.6873272224647</v>
      </c>
      <c r="AO26" s="508"/>
      <c r="AP26" s="508">
        <f t="shared" si="4"/>
        <v>96.14225437010246</v>
      </c>
      <c r="AR26" s="563"/>
    </row>
    <row r="27" spans="1:44" ht="12.75">
      <c r="A27" s="511" t="s">
        <v>456</v>
      </c>
      <c r="B27" s="525"/>
      <c r="C27" s="525"/>
      <c r="D27" s="512" t="s">
        <v>110</v>
      </c>
      <c r="E27" s="525"/>
      <c r="F27" s="525"/>
      <c r="G27" s="528" t="s">
        <v>110</v>
      </c>
      <c r="H27" s="525"/>
      <c r="I27" s="525"/>
      <c r="J27" s="512"/>
      <c r="K27" s="509"/>
      <c r="L27" s="518"/>
      <c r="M27" s="525">
        <v>5790.9</v>
      </c>
      <c r="O27" s="521"/>
      <c r="P27" s="525">
        <v>7.2</v>
      </c>
      <c r="Q27" s="513">
        <f>(P27*29)/('Field recov'!V27*2)</f>
        <v>104.4</v>
      </c>
      <c r="R27" s="525">
        <v>39.3</v>
      </c>
      <c r="S27" s="512">
        <f>(R27*2)/'Field recov'!AA27</f>
        <v>78.6</v>
      </c>
      <c r="T27" s="525">
        <v>8.9</v>
      </c>
      <c r="U27" s="525">
        <v>42.1</v>
      </c>
      <c r="V27" s="512">
        <f>(T27/'Field recov'!AC27)+(U27/'Field recov'!AD27)</f>
        <v>58.62068965517241</v>
      </c>
      <c r="W27" s="525">
        <v>138.5</v>
      </c>
      <c r="X27" s="525">
        <v>48.2</v>
      </c>
      <c r="Y27" s="540">
        <f>(W27/'Field recov'!AG27)+(X27/'Field recov'!AH27)</f>
        <v>214.5977011494253</v>
      </c>
      <c r="Z27" s="525">
        <v>93.3</v>
      </c>
      <c r="AA27" s="525">
        <v>43.5</v>
      </c>
      <c r="AB27" s="512">
        <f>(Z27/'Field recov'!AK27)+(AA27/'Field recov'!AL27)</f>
        <v>157.24137931034483</v>
      </c>
      <c r="AC27" s="540">
        <f t="shared" si="3"/>
        <v>430.4597701149425</v>
      </c>
      <c r="AD27" s="517"/>
      <c r="AE27" s="518" t="s">
        <v>110</v>
      </c>
      <c r="AF27" s="518">
        <f t="shared" si="2"/>
        <v>78.6</v>
      </c>
      <c r="AG27" s="518">
        <f t="shared" si="6"/>
        <v>430.4597701149425</v>
      </c>
      <c r="AH27" s="518"/>
      <c r="AI27" s="518"/>
      <c r="AJ27" s="621">
        <v>0.41</v>
      </c>
      <c r="AK27" s="508"/>
      <c r="AL27" s="563" t="s">
        <v>110</v>
      </c>
      <c r="AM27" s="508">
        <f t="shared" si="8"/>
        <v>191.70731707317074</v>
      </c>
      <c r="AN27" s="508">
        <f t="shared" si="7"/>
        <v>1049.901878329128</v>
      </c>
      <c r="AO27" s="508"/>
      <c r="AP27" s="508">
        <f t="shared" si="4"/>
        <v>254.63414634146343</v>
      </c>
      <c r="AR27" s="563"/>
    </row>
    <row r="28" spans="1:44" ht="12.75">
      <c r="A28" s="511" t="s">
        <v>457</v>
      </c>
      <c r="B28" s="525"/>
      <c r="C28" s="525"/>
      <c r="D28" s="512" t="s">
        <v>110</v>
      </c>
      <c r="E28" s="525"/>
      <c r="F28" s="525"/>
      <c r="G28" s="528" t="s">
        <v>110</v>
      </c>
      <c r="H28" s="525"/>
      <c r="I28" s="525"/>
      <c r="J28" s="512"/>
      <c r="K28" s="509"/>
      <c r="L28" s="518"/>
      <c r="M28" s="520"/>
      <c r="N28" s="525">
        <v>81.2</v>
      </c>
      <c r="O28" s="521"/>
      <c r="P28" s="525">
        <v>44</v>
      </c>
      <c r="Q28" s="513">
        <f>(P28*29)/('Field recov'!V28*2)</f>
        <v>638</v>
      </c>
      <c r="R28" s="525">
        <v>1124.6</v>
      </c>
      <c r="S28" s="512">
        <f>(R28*2)/'Field recov'!AA28</f>
        <v>2249.2</v>
      </c>
      <c r="T28" s="525">
        <v>118.4</v>
      </c>
      <c r="U28" s="525">
        <v>69.8</v>
      </c>
      <c r="V28" s="512">
        <f>(T28/'Field recov'!AC28)+(U28/'Field recov'!AD28)</f>
        <v>216.32183908045977</v>
      </c>
      <c r="W28" s="525">
        <v>636.6</v>
      </c>
      <c r="X28" s="525">
        <v>386.7</v>
      </c>
      <c r="Y28" s="540">
        <f>(W28/'Field recov'!AG28)+(X28/'Field recov'!AH28)</f>
        <v>1023.3</v>
      </c>
      <c r="Z28" s="525">
        <v>28.6</v>
      </c>
      <c r="AA28" s="525">
        <v>36.1</v>
      </c>
      <c r="AB28" s="512">
        <f>(Z28/'Field recov'!AK28)+(AA28/'Field recov'!AL28)</f>
        <v>74.36781609195403</v>
      </c>
      <c r="AC28" s="540">
        <f t="shared" si="3"/>
        <v>1313.9896551724137</v>
      </c>
      <c r="AD28" s="517"/>
      <c r="AE28" s="518" t="s">
        <v>110</v>
      </c>
      <c r="AF28" s="518">
        <f t="shared" si="2"/>
        <v>2249.2</v>
      </c>
      <c r="AG28" s="518">
        <f t="shared" si="6"/>
        <v>1313.9896551724137</v>
      </c>
      <c r="AH28" s="518">
        <f>IF(N28&lt;&gt;"",N28/'Field recov'!R28)</f>
        <v>102.78481012658227</v>
      </c>
      <c r="AI28" s="518"/>
      <c r="AJ28" s="621">
        <v>0.75</v>
      </c>
      <c r="AK28" s="508"/>
      <c r="AL28" s="563" t="s">
        <v>110</v>
      </c>
      <c r="AM28" s="508">
        <f t="shared" si="8"/>
        <v>2998.933333333333</v>
      </c>
      <c r="AN28" s="508">
        <f t="shared" si="7"/>
        <v>1751.9862068965515</v>
      </c>
      <c r="AO28" s="508">
        <f t="shared" si="5"/>
        <v>137.0464135021097</v>
      </c>
      <c r="AP28" s="508">
        <f t="shared" si="4"/>
        <v>850.6666666666666</v>
      </c>
      <c r="AR28" s="563"/>
    </row>
    <row r="29" spans="1:44" ht="12.75">
      <c r="A29" s="511" t="s">
        <v>458</v>
      </c>
      <c r="B29" s="525"/>
      <c r="C29" s="525"/>
      <c r="D29" s="512" t="s">
        <v>110</v>
      </c>
      <c r="E29" s="525"/>
      <c r="F29" s="525"/>
      <c r="G29" s="528" t="s">
        <v>110</v>
      </c>
      <c r="H29" s="525"/>
      <c r="I29" s="525"/>
      <c r="J29" s="512"/>
      <c r="K29" s="509"/>
      <c r="L29" s="518"/>
      <c r="M29" s="511"/>
      <c r="N29" s="525">
        <v>602.2</v>
      </c>
      <c r="O29" s="521"/>
      <c r="P29" s="525">
        <v>9.5</v>
      </c>
      <c r="Q29" s="513">
        <f>(P29*29)/('Field recov'!V29*2)</f>
        <v>137.75</v>
      </c>
      <c r="R29" s="525">
        <v>2360.6</v>
      </c>
      <c r="S29" s="512">
        <f>(R29*2)/'Field recov'!AA29</f>
        <v>4721.2</v>
      </c>
      <c r="T29" s="525">
        <v>459.9</v>
      </c>
      <c r="U29" s="525">
        <v>2048.8</v>
      </c>
      <c r="V29" s="512">
        <f>(T29/'Field recov'!AC29)+(U29/'Field recov'!AD29)</f>
        <v>2508.7000000000003</v>
      </c>
      <c r="W29" s="525">
        <v>755.5</v>
      </c>
      <c r="X29" s="525">
        <v>712.1</v>
      </c>
      <c r="Y29" s="540">
        <f>(W29/'Field recov'!AG29)+(X29/'Field recov'!AH29)</f>
        <v>1467.6</v>
      </c>
      <c r="Z29" s="525">
        <v>75.7</v>
      </c>
      <c r="AA29" s="525">
        <v>592.9</v>
      </c>
      <c r="AB29" s="512">
        <f>(Z29/'Field recov'!AK29)+(AA29/'Field recov'!AL29)</f>
        <v>679.9114942528736</v>
      </c>
      <c r="AC29" s="540">
        <f t="shared" si="3"/>
        <v>4656.211494252873</v>
      </c>
      <c r="AD29" s="517"/>
      <c r="AE29" s="518" t="s">
        <v>110</v>
      </c>
      <c r="AF29" s="518">
        <f t="shared" si="2"/>
        <v>4721.2</v>
      </c>
      <c r="AG29" s="518">
        <f t="shared" si="6"/>
        <v>4656.211494252873</v>
      </c>
      <c r="AH29" s="518">
        <f>IF(N29&lt;&gt;"",N29/'Field recov'!R29)</f>
        <v>762.2784810126583</v>
      </c>
      <c r="AI29" s="518"/>
      <c r="AJ29" s="621">
        <v>0.53</v>
      </c>
      <c r="AK29" s="508"/>
      <c r="AL29" s="563" t="s">
        <v>110</v>
      </c>
      <c r="AM29" s="508">
        <f t="shared" si="8"/>
        <v>8907.924528301886</v>
      </c>
      <c r="AN29" s="508">
        <f t="shared" si="7"/>
        <v>8785.304706137496</v>
      </c>
      <c r="AO29" s="508">
        <f t="shared" si="5"/>
        <v>1438.2612849295438</v>
      </c>
      <c r="AP29" s="508">
        <f t="shared" si="4"/>
        <v>259.90566037735846</v>
      </c>
      <c r="AR29" s="563"/>
    </row>
    <row r="30" spans="1:44" ht="12.75">
      <c r="A30" s="511" t="s">
        <v>459</v>
      </c>
      <c r="B30" s="525"/>
      <c r="C30" s="525"/>
      <c r="D30" s="512" t="s">
        <v>110</v>
      </c>
      <c r="E30" s="525"/>
      <c r="F30" s="525"/>
      <c r="G30" s="528" t="s">
        <v>110</v>
      </c>
      <c r="H30" s="525"/>
      <c r="I30" s="525"/>
      <c r="J30" s="512"/>
      <c r="K30" s="509"/>
      <c r="L30" s="518"/>
      <c r="M30" s="511"/>
      <c r="N30" s="525">
        <v>68.5</v>
      </c>
      <c r="O30" s="521"/>
      <c r="P30" s="525">
        <v>18.8</v>
      </c>
      <c r="Q30" s="513">
        <f>(P30*29)/('Field recov'!V30*2.2)</f>
        <v>247.8181818181818</v>
      </c>
      <c r="R30" s="525">
        <v>1986</v>
      </c>
      <c r="S30" s="512">
        <f>(R30*2)/'Field recov'!AA30</f>
        <v>3972</v>
      </c>
      <c r="T30" s="525">
        <v>110.5</v>
      </c>
      <c r="U30" s="525">
        <v>224.9</v>
      </c>
      <c r="V30" s="512">
        <f>(T30/'Field recov'!AC30)+(U30/'Field recov'!AD30)</f>
        <v>385.51724137931035</v>
      </c>
      <c r="W30" s="525">
        <v>631.5</v>
      </c>
      <c r="X30" s="525">
        <v>404.2</v>
      </c>
      <c r="Y30" s="540">
        <f>(W30/'Field recov'!AG30)+(X30/'Field recov'!AH30)</f>
        <v>1035.7</v>
      </c>
      <c r="Z30" s="525">
        <v>778.9</v>
      </c>
      <c r="AA30" s="525">
        <v>454.6</v>
      </c>
      <c r="AB30" s="512">
        <f>(Z30/'Field recov'!AK30)+(AA30/'Field recov'!AL30)</f>
        <v>1233.5</v>
      </c>
      <c r="AC30" s="540">
        <f t="shared" si="3"/>
        <v>2654.7172413793105</v>
      </c>
      <c r="AD30" s="517"/>
      <c r="AE30" s="518" t="s">
        <v>110</v>
      </c>
      <c r="AF30" s="518">
        <f t="shared" si="2"/>
        <v>3972</v>
      </c>
      <c r="AG30" s="518">
        <f t="shared" si="6"/>
        <v>2654.7172413793105</v>
      </c>
      <c r="AH30" s="518">
        <f>IF(N30&lt;&gt;"",N30/'Field recov'!R30)</f>
        <v>86.70886075949366</v>
      </c>
      <c r="AI30" s="518"/>
      <c r="AJ30" s="621">
        <v>0.74</v>
      </c>
      <c r="AK30" s="508"/>
      <c r="AL30" s="563" t="s">
        <v>110</v>
      </c>
      <c r="AM30" s="508">
        <f t="shared" si="8"/>
        <v>5367.5675675675675</v>
      </c>
      <c r="AN30" s="508">
        <f t="shared" si="7"/>
        <v>3587.4557315936627</v>
      </c>
      <c r="AO30" s="508">
        <f t="shared" si="5"/>
        <v>117.17413616147792</v>
      </c>
      <c r="AP30" s="508">
        <f t="shared" si="4"/>
        <v>334.8894348894349</v>
      </c>
      <c r="AR30" s="563"/>
    </row>
    <row r="31" spans="1:44" ht="12.75">
      <c r="A31" s="511" t="s">
        <v>460</v>
      </c>
      <c r="B31" s="525"/>
      <c r="C31" s="525"/>
      <c r="D31" s="512" t="s">
        <v>110</v>
      </c>
      <c r="E31" s="525"/>
      <c r="F31" s="525"/>
      <c r="G31" s="528" t="s">
        <v>110</v>
      </c>
      <c r="H31" s="525"/>
      <c r="I31" s="525"/>
      <c r="J31" s="512"/>
      <c r="K31" s="509"/>
      <c r="L31" s="518"/>
      <c r="M31" s="525">
        <v>2414.8</v>
      </c>
      <c r="O31" s="521"/>
      <c r="P31" s="525">
        <v>5.5</v>
      </c>
      <c r="Q31" s="513">
        <f>(P31*29)/('Field recov'!V31*2)</f>
        <v>79.75</v>
      </c>
      <c r="R31" s="525">
        <v>147.1</v>
      </c>
      <c r="S31" s="512">
        <f>(R31*2)/'Field recov'!AA31</f>
        <v>294.2</v>
      </c>
      <c r="T31" s="525">
        <v>23.8</v>
      </c>
      <c r="U31" s="525">
        <v>139.2</v>
      </c>
      <c r="V31" s="512">
        <f>(T31/'Field recov'!AC31)+(U31/'Field recov'!AD31)</f>
        <v>187.35632183908046</v>
      </c>
      <c r="W31" s="525">
        <v>154.4</v>
      </c>
      <c r="X31" s="525">
        <v>67.9</v>
      </c>
      <c r="Y31" s="540">
        <f>(W31/'Field recov'!AG31)+(X31/'Field recov'!AH31)</f>
        <v>255.51724137931035</v>
      </c>
      <c r="Z31" s="525">
        <v>86.1</v>
      </c>
      <c r="AA31" s="525">
        <v>726</v>
      </c>
      <c r="AB31" s="512">
        <f>(Z31/'Field recov'!AK31)+(AA31/'Field recov'!AL31)</f>
        <v>824.9655172413793</v>
      </c>
      <c r="AC31" s="540">
        <f t="shared" si="3"/>
        <v>1267.8390804597702</v>
      </c>
      <c r="AD31" s="517"/>
      <c r="AE31" s="518" t="s">
        <v>110</v>
      </c>
      <c r="AF31" s="518">
        <f t="shared" si="2"/>
        <v>294.2</v>
      </c>
      <c r="AG31" s="518">
        <f t="shared" si="6"/>
        <v>1267.8390804597702</v>
      </c>
      <c r="AH31" s="518"/>
      <c r="AI31" s="518"/>
      <c r="AJ31" s="621">
        <v>0.71</v>
      </c>
      <c r="AK31" s="508"/>
      <c r="AL31" s="563" t="s">
        <v>110</v>
      </c>
      <c r="AM31" s="508">
        <f t="shared" si="8"/>
        <v>414.3661971830986</v>
      </c>
      <c r="AN31" s="508">
        <f t="shared" si="7"/>
        <v>1785.6888457179864</v>
      </c>
      <c r="AO31" s="508"/>
      <c r="AP31" s="508">
        <f t="shared" si="4"/>
        <v>112.32394366197184</v>
      </c>
      <c r="AR31" s="563"/>
    </row>
    <row r="32" spans="1:44" ht="12.75">
      <c r="A32" s="511" t="s">
        <v>461</v>
      </c>
      <c r="B32" s="525"/>
      <c r="C32" s="525"/>
      <c r="D32" s="512" t="s">
        <v>110</v>
      </c>
      <c r="E32" s="525"/>
      <c r="F32" s="525"/>
      <c r="G32" s="528" t="s">
        <v>110</v>
      </c>
      <c r="H32" s="525"/>
      <c r="I32" s="525"/>
      <c r="J32" s="512"/>
      <c r="K32" s="509"/>
      <c r="L32" s="518"/>
      <c r="M32" s="525">
        <v>3252.8</v>
      </c>
      <c r="O32" s="521"/>
      <c r="P32" s="525">
        <v>16.6</v>
      </c>
      <c r="Q32" s="513">
        <f>(P32*29)/('Field recov'!V32*2)</f>
        <v>240.70000000000002</v>
      </c>
      <c r="R32" s="525">
        <v>125.5</v>
      </c>
      <c r="S32" s="512">
        <f>(R32*2)/'Field recov'!AA32</f>
        <v>251</v>
      </c>
      <c r="T32" s="525">
        <v>41.4</v>
      </c>
      <c r="U32" s="525">
        <v>552.2</v>
      </c>
      <c r="V32" s="512">
        <f>(T32/'Field recov'!AC32)+(U32/'Field recov'!AD32)</f>
        <v>599.7862068965518</v>
      </c>
      <c r="W32" s="525">
        <v>336.9</v>
      </c>
      <c r="X32" s="525">
        <v>217.5</v>
      </c>
      <c r="Y32" s="540">
        <f>(W32/'Field recov'!AG32)+(X32/'Field recov'!AH32)</f>
        <v>586.9</v>
      </c>
      <c r="Z32" s="525">
        <v>31.2</v>
      </c>
      <c r="AA32" s="525">
        <v>17.2</v>
      </c>
      <c r="AB32" s="512">
        <f>(Z32/'Field recov'!AK32)+(AA32/'Field recov'!AL32)</f>
        <v>55.632183908045974</v>
      </c>
      <c r="AC32" s="540">
        <f t="shared" si="3"/>
        <v>1242.3183908045978</v>
      </c>
      <c r="AD32" s="517"/>
      <c r="AE32" s="518" t="s">
        <v>110</v>
      </c>
      <c r="AF32" s="518">
        <f t="shared" si="2"/>
        <v>251</v>
      </c>
      <c r="AG32" s="518">
        <f t="shared" si="6"/>
        <v>1242.3183908045978</v>
      </c>
      <c r="AH32" s="518"/>
      <c r="AI32" s="518"/>
      <c r="AJ32" s="621">
        <v>0.71</v>
      </c>
      <c r="AK32" s="508"/>
      <c r="AL32" s="563" t="s">
        <v>110</v>
      </c>
      <c r="AM32" s="508">
        <f t="shared" si="8"/>
        <v>353.5211267605634</v>
      </c>
      <c r="AN32" s="508">
        <f t="shared" si="7"/>
        <v>1749.7442124008421</v>
      </c>
      <c r="AO32" s="508"/>
      <c r="AP32" s="508">
        <f t="shared" si="4"/>
        <v>339.0140845070423</v>
      </c>
      <c r="AR32" s="563"/>
    </row>
    <row r="33" spans="1:44" ht="12.75">
      <c r="A33" s="511" t="s">
        <v>462</v>
      </c>
      <c r="B33" s="525"/>
      <c r="C33" s="525"/>
      <c r="D33" s="512" t="s">
        <v>110</v>
      </c>
      <c r="E33" s="525"/>
      <c r="F33" s="525"/>
      <c r="G33" s="528" t="s">
        <v>110</v>
      </c>
      <c r="H33" s="525"/>
      <c r="I33" s="525"/>
      <c r="J33" s="512"/>
      <c r="K33" s="509"/>
      <c r="L33" s="518"/>
      <c r="M33" s="511"/>
      <c r="N33" s="525">
        <v>35.7</v>
      </c>
      <c r="O33" s="521"/>
      <c r="P33" s="525">
        <v>9.7</v>
      </c>
      <c r="Q33" s="513">
        <f>(P33*29)/('Field recov'!V33*2)</f>
        <v>140.64999999999998</v>
      </c>
      <c r="R33" s="525">
        <v>178</v>
      </c>
      <c r="S33" s="512">
        <f>(R33*2)/'Field recov'!AA33</f>
        <v>356</v>
      </c>
      <c r="T33" s="525">
        <v>18.1</v>
      </c>
      <c r="U33" s="525">
        <v>24.9</v>
      </c>
      <c r="V33" s="512">
        <f>(T33/'Field recov'!AC33)+(U33/'Field recov'!AD33)</f>
        <v>49.42528735632184</v>
      </c>
      <c r="W33" s="525">
        <v>70.5</v>
      </c>
      <c r="X33" s="525">
        <v>438</v>
      </c>
      <c r="Y33" s="540">
        <f>(W33/'Field recov'!AG33)+(X33/'Field recov'!AH33)</f>
        <v>519.0344827586207</v>
      </c>
      <c r="Z33" s="525">
        <v>94.3</v>
      </c>
      <c r="AA33" s="525">
        <v>121.8</v>
      </c>
      <c r="AB33" s="512">
        <f>(Z33/'Field recov'!AK33)+(AA33/'Field recov'!AL33)</f>
        <v>248.39080459770116</v>
      </c>
      <c r="AC33" s="540">
        <f t="shared" si="3"/>
        <v>816.8505747126437</v>
      </c>
      <c r="AD33" s="517"/>
      <c r="AE33" s="518" t="s">
        <v>110</v>
      </c>
      <c r="AF33" s="518">
        <f t="shared" si="2"/>
        <v>356</v>
      </c>
      <c r="AG33" s="518">
        <f t="shared" si="6"/>
        <v>816.8505747126437</v>
      </c>
      <c r="AH33" s="518">
        <f>IF(N33&lt;&gt;"",N33/'Field recov'!R33)</f>
        <v>45.18987341772152</v>
      </c>
      <c r="AI33" s="518"/>
      <c r="AJ33" s="621">
        <v>0.75</v>
      </c>
      <c r="AK33" s="508"/>
      <c r="AL33" s="563" t="s">
        <v>110</v>
      </c>
      <c r="AM33" s="508">
        <f t="shared" si="8"/>
        <v>474.6666666666667</v>
      </c>
      <c r="AN33" s="508">
        <f t="shared" si="7"/>
        <v>1089.1340996168583</v>
      </c>
      <c r="AO33" s="508">
        <f t="shared" si="5"/>
        <v>60.25316455696203</v>
      </c>
      <c r="AP33" s="508">
        <f t="shared" si="4"/>
        <v>187.5333333333333</v>
      </c>
      <c r="AR33" s="563"/>
    </row>
    <row r="34" spans="1:44" ht="12.75">
      <c r="A34" s="511" t="s">
        <v>463</v>
      </c>
      <c r="B34" s="525"/>
      <c r="C34" s="525"/>
      <c r="D34" s="512" t="s">
        <v>110</v>
      </c>
      <c r="E34" s="525"/>
      <c r="F34" s="525"/>
      <c r="G34" s="528" t="s">
        <v>110</v>
      </c>
      <c r="H34" s="525"/>
      <c r="I34" s="525"/>
      <c r="J34" s="512"/>
      <c r="K34" s="509"/>
      <c r="L34" s="518"/>
      <c r="M34" s="511"/>
      <c r="N34" s="525">
        <v>418.7</v>
      </c>
      <c r="O34" s="521"/>
      <c r="P34" s="525">
        <v>32.1</v>
      </c>
      <c r="Q34" s="513">
        <f>(P34*29)/('Field recov'!V34*2)</f>
        <v>465.45000000000005</v>
      </c>
      <c r="R34" s="525">
        <v>148.1</v>
      </c>
      <c r="S34" s="512">
        <f>(R34*2)/'Field recov'!AA34</f>
        <v>296.2</v>
      </c>
      <c r="T34" s="525">
        <v>27.9</v>
      </c>
      <c r="U34" s="525">
        <v>45.6</v>
      </c>
      <c r="V34" s="512">
        <f>(T34/'Field recov'!AC34)+(U34/'Field recov'!AD34)</f>
        <v>84.48275862068965</v>
      </c>
      <c r="W34" s="525">
        <v>179.2</v>
      </c>
      <c r="X34" s="525">
        <v>202</v>
      </c>
      <c r="Y34" s="540">
        <f>(W34/'Field recov'!AG34)+(X34/'Field recov'!AH34)</f>
        <v>438.1609195402299</v>
      </c>
      <c r="Z34" s="525">
        <v>102.5</v>
      </c>
      <c r="AA34" s="525">
        <v>527.8</v>
      </c>
      <c r="AB34" s="512">
        <f>(Z34/'Field recov'!AK34)+(AA34/'Field recov'!AL34)</f>
        <v>645.616091954023</v>
      </c>
      <c r="AC34" s="540">
        <f t="shared" si="3"/>
        <v>1168.2597701149425</v>
      </c>
      <c r="AD34" s="517"/>
      <c r="AE34" s="518" t="s">
        <v>110</v>
      </c>
      <c r="AF34" s="518">
        <f t="shared" si="2"/>
        <v>296.2</v>
      </c>
      <c r="AG34" s="518">
        <f t="shared" si="6"/>
        <v>1168.2597701149425</v>
      </c>
      <c r="AH34" s="518">
        <f>IF(N34&lt;&gt;"",N34/'Field recov'!R34)</f>
        <v>530</v>
      </c>
      <c r="AI34" s="518"/>
      <c r="AJ34" s="621">
        <v>0.83</v>
      </c>
      <c r="AK34" s="508"/>
      <c r="AL34" s="563" t="s">
        <v>110</v>
      </c>
      <c r="AM34" s="508">
        <f t="shared" si="8"/>
        <v>356.86746987951807</v>
      </c>
      <c r="AN34" s="508">
        <f t="shared" si="7"/>
        <v>1407.54189170475</v>
      </c>
      <c r="AO34" s="508">
        <f t="shared" si="5"/>
        <v>638.5542168674699</v>
      </c>
      <c r="AP34" s="508">
        <f t="shared" si="4"/>
        <v>560.7831325301206</v>
      </c>
      <c r="AR34" s="563"/>
    </row>
    <row r="35" spans="1:44" s="536" customFormat="1" ht="12.75">
      <c r="A35" s="515" t="s">
        <v>219</v>
      </c>
      <c r="B35" s="526">
        <v>56207.4</v>
      </c>
      <c r="C35" s="526">
        <v>36810.4</v>
      </c>
      <c r="D35" s="516">
        <f>(B35/'Field recov'!B35)+(C35/'Field recov'!C35)</f>
        <v>101106.30434782608</v>
      </c>
      <c r="E35" s="526">
        <v>24308.1</v>
      </c>
      <c r="F35" s="526">
        <v>21729.8</v>
      </c>
      <c r="G35" s="516">
        <f>(E35/'Field recov'!F35)+(F35/'Field recov'!G35)</f>
        <v>50041.195652173905</v>
      </c>
      <c r="H35" s="526">
        <v>73625</v>
      </c>
      <c r="I35" s="526">
        <v>102899</v>
      </c>
      <c r="J35" s="516">
        <f>(H35/'Field recov'!J35)+(I35/'Field recov'!K35)</f>
        <v>191873.91304347827</v>
      </c>
      <c r="K35" s="527">
        <f aca="true" t="shared" si="9" ref="K35:K44">D35+G35+J35</f>
        <v>343021.4130434783</v>
      </c>
      <c r="L35" s="527">
        <f>(E35/'Field recov'!F35)/2+(F35/'Field recov'!G35)</f>
        <v>36830.27173913043</v>
      </c>
      <c r="M35" s="519">
        <v>9335.3</v>
      </c>
      <c r="N35" s="519"/>
      <c r="O35" s="519"/>
      <c r="P35" s="514">
        <v>14.36</v>
      </c>
      <c r="Q35" s="596">
        <f>(P35*29)/('Field recov'!V35*2)</f>
        <v>293.2676056338028</v>
      </c>
      <c r="R35" s="515">
        <v>249</v>
      </c>
      <c r="S35" s="516">
        <f>(R35*2)/'Field recov'!AA35</f>
        <v>498</v>
      </c>
      <c r="T35" s="526">
        <v>1108.9</v>
      </c>
      <c r="U35" s="526">
        <v>309.2</v>
      </c>
      <c r="V35" s="516">
        <f>(T35/'Field recov'!AC35)+(U35/'Field recov'!AD35)</f>
        <v>1418.1000000000001</v>
      </c>
      <c r="W35" s="526">
        <v>1365.5</v>
      </c>
      <c r="X35" s="526">
        <v>840.7</v>
      </c>
      <c r="Y35" s="530">
        <f>(W35/'Field recov'!AG35)+(X35/'Field recov'!AH35)</f>
        <v>2206.2</v>
      </c>
      <c r="Z35" s="526">
        <v>11669.5</v>
      </c>
      <c r="AA35" s="526">
        <v>5337.8</v>
      </c>
      <c r="AB35" s="516">
        <f>(Z35/'Field recov'!AK35)+(AA35/'Field recov'!AL35)</f>
        <v>17007.3</v>
      </c>
      <c r="AC35" s="530">
        <f t="shared" si="3"/>
        <v>20631.6</v>
      </c>
      <c r="AD35" s="516">
        <f aca="true" t="shared" si="10" ref="AD35:AD44">IF(OR(K35="",AC35=""),"",K35+AC35)</f>
        <v>363653.01304347825</v>
      </c>
      <c r="AE35" s="527">
        <f>IF(OR(M35&lt;&gt;"",N35&lt;&gt;"",O35&lt;&gt;""),SUM(M35/'Field recov'!Q35,N35/'Field recov'!R35,O35/'Field recov'!T35),"")</f>
        <v>9335.3</v>
      </c>
      <c r="AF35" s="527">
        <f t="shared" si="2"/>
        <v>498</v>
      </c>
      <c r="AG35" s="527">
        <f t="shared" si="6"/>
        <v>20631.6</v>
      </c>
      <c r="AH35" s="527"/>
      <c r="AI35" s="527">
        <f aca="true" t="shared" si="11" ref="AI35:AI44">IF(AND(J35&lt;&gt;"",L35&lt;&gt;"",AG35&lt;&gt;""),J35+L35+AG35,"")</f>
        <v>249335.7847826087</v>
      </c>
      <c r="AJ35" s="623">
        <v>0.975</v>
      </c>
      <c r="AK35" s="561">
        <f aca="true" t="shared" si="12" ref="AK35:AK44">AD35/AJ35</f>
        <v>372977.4492753623</v>
      </c>
      <c r="AL35" s="561">
        <f aca="true" t="shared" si="13" ref="AL35:AL44">AE35/AJ35</f>
        <v>9574.666666666666</v>
      </c>
      <c r="AM35" s="561">
        <f t="shared" si="8"/>
        <v>510.7692307692308</v>
      </c>
      <c r="AN35" s="561">
        <f t="shared" si="7"/>
        <v>21160.615384615383</v>
      </c>
      <c r="AO35" s="561"/>
      <c r="AP35" s="561">
        <f t="shared" si="4"/>
        <v>300.78728782954136</v>
      </c>
      <c r="AR35" s="561">
        <f aca="true" t="shared" si="14" ref="AR35:AR44">IF(AI35&lt;&gt;"",AI35/AJ35,"")</f>
        <v>255729.01003344482</v>
      </c>
    </row>
    <row r="36" spans="1:44" ht="12.75">
      <c r="A36" s="511" t="s">
        <v>220</v>
      </c>
      <c r="B36" s="525">
        <v>3938.9</v>
      </c>
      <c r="C36" s="525">
        <v>3359.8</v>
      </c>
      <c r="D36" s="512">
        <f>(B36/'Field recov'!B36)+(C36/'Field recov'!C36)</f>
        <v>7933.369565217392</v>
      </c>
      <c r="E36" s="525">
        <v>3775.5</v>
      </c>
      <c r="F36" s="525">
        <v>5380.9</v>
      </c>
      <c r="G36" s="512">
        <f>(E36/'Field recov'!F36)+(F36/'Field recov'!G36)</f>
        <v>9952.608695652172</v>
      </c>
      <c r="H36" s="525">
        <v>3686.7</v>
      </c>
      <c r="I36" s="525">
        <v>12071</v>
      </c>
      <c r="J36" s="512">
        <f>(H36/'Field recov'!J36)+(I36/'Field recov'!K36)</f>
        <v>17127.934782608696</v>
      </c>
      <c r="K36" s="509">
        <f t="shared" si="9"/>
        <v>35013.91304347826</v>
      </c>
      <c r="L36" s="518">
        <f>(E36/'Field recov'!F36)/2+(F36/'Field recov'!G36)</f>
        <v>7900.70652173913</v>
      </c>
      <c r="M36" s="520"/>
      <c r="N36" s="520">
        <v>44.26</v>
      </c>
      <c r="O36" s="520">
        <v>2346.6</v>
      </c>
      <c r="P36" s="521">
        <v>13.87</v>
      </c>
      <c r="Q36" s="513">
        <f>(P36*29)/('Field recov'!V36*2)</f>
        <v>283.26056338028167</v>
      </c>
      <c r="R36" s="511">
        <v>131.9</v>
      </c>
      <c r="S36" s="512">
        <f>(R36*2)/'Field recov'!AA36</f>
        <v>263.8</v>
      </c>
      <c r="T36" s="525">
        <v>23.2</v>
      </c>
      <c r="U36" s="525">
        <v>459</v>
      </c>
      <c r="V36" s="512">
        <f>(T36/'Field recov'!AC36)+(U36/'Field recov'!AD36)</f>
        <v>482.2</v>
      </c>
      <c r="W36" s="525">
        <v>98.1</v>
      </c>
      <c r="X36" s="525">
        <v>101.3</v>
      </c>
      <c r="Y36" s="540">
        <f>(W36/'Field recov'!AG36)+(X36/'Field recov'!AH36)</f>
        <v>199.39999999999998</v>
      </c>
      <c r="Z36" s="525">
        <v>105.2</v>
      </c>
      <c r="AA36" s="525">
        <v>236.1</v>
      </c>
      <c r="AB36" s="512">
        <f>(Z36/'Field recov'!AK36)+(AA36/'Field recov'!AL36)</f>
        <v>341.3</v>
      </c>
      <c r="AC36" s="540">
        <f t="shared" si="3"/>
        <v>1022.8999999999999</v>
      </c>
      <c r="AD36" s="517">
        <f t="shared" si="10"/>
        <v>36036.81304347826</v>
      </c>
      <c r="AE36" s="518">
        <f>IF(OR(M36&lt;&gt;"",N36&lt;&gt;"",O36&lt;&gt;""),SUM(M36/'Field recov'!Q36,N36/'Field recov'!R36,O36/'Field recov'!T36),"")</f>
        <v>2622.9413186813185</v>
      </c>
      <c r="AF36" s="518">
        <f t="shared" si="2"/>
        <v>263.8</v>
      </c>
      <c r="AG36" s="518">
        <f t="shared" si="6"/>
        <v>1022.8999999999999</v>
      </c>
      <c r="AH36" s="518">
        <f>IF(N36&lt;&gt;"",N36/'Field recov'!R36)</f>
        <v>44.26</v>
      </c>
      <c r="AI36" s="518">
        <f t="shared" si="11"/>
        <v>26051.541304347826</v>
      </c>
      <c r="AJ36" s="619">
        <v>0.675</v>
      </c>
      <c r="AK36" s="508">
        <f t="shared" si="12"/>
        <v>53387.87117552334</v>
      </c>
      <c r="AL36" s="508">
        <f t="shared" si="13"/>
        <v>3885.8389906389903</v>
      </c>
      <c r="AM36" s="508">
        <f t="shared" si="8"/>
        <v>390.8148148148148</v>
      </c>
      <c r="AN36" s="508">
        <f t="shared" si="7"/>
        <v>1515.4074074074072</v>
      </c>
      <c r="AO36" s="508">
        <f>AH36/AJ36</f>
        <v>65.57037037037037</v>
      </c>
      <c r="AP36" s="508">
        <f t="shared" si="4"/>
        <v>419.64527908189876</v>
      </c>
      <c r="AR36" s="508">
        <f t="shared" si="14"/>
        <v>38594.87600644122</v>
      </c>
    </row>
    <row r="37" spans="1:44" ht="12.75">
      <c r="A37" s="511" t="s">
        <v>221</v>
      </c>
      <c r="B37" s="525">
        <v>14449.7</v>
      </c>
      <c r="C37" s="525">
        <v>34433.7</v>
      </c>
      <c r="D37" s="512">
        <f>(B37/'Field recov'!B37)+(C37/'Field recov'!C37)</f>
        <v>53134.1304347826</v>
      </c>
      <c r="E37" s="525">
        <v>23876.6</v>
      </c>
      <c r="F37" s="525">
        <v>24542</v>
      </c>
      <c r="G37" s="512">
        <f>(E37/'Field recov'!F37)+(F37/'Field recov'!G37)</f>
        <v>52628.91304347826</v>
      </c>
      <c r="H37" s="525">
        <v>66633.1</v>
      </c>
      <c r="I37" s="525">
        <v>139969.6</v>
      </c>
      <c r="J37" s="512">
        <f>(H37/'Field recov'!J37)+(I37/'Field recov'!K37)</f>
        <v>224568.15217391303</v>
      </c>
      <c r="K37" s="509">
        <f t="shared" si="9"/>
        <v>330331.1956521739</v>
      </c>
      <c r="L37" s="518">
        <f>(E37/'Field recov'!F37)/2+(F37/'Field recov'!G37)</f>
        <v>39652.5</v>
      </c>
      <c r="M37" s="520"/>
      <c r="N37" s="520">
        <v>75.96</v>
      </c>
      <c r="O37" s="520"/>
      <c r="P37" s="521">
        <v>21.03</v>
      </c>
      <c r="Q37" s="513">
        <f>(P37*29)/('Field recov'!V37*2)</f>
        <v>429.48591549295776</v>
      </c>
      <c r="R37" s="511">
        <v>197.9</v>
      </c>
      <c r="S37" s="512">
        <f>(R37*2)/'Field recov'!AA37</f>
        <v>395.8</v>
      </c>
      <c r="T37" s="525">
        <v>610.5</v>
      </c>
      <c r="U37" s="525">
        <v>689.4</v>
      </c>
      <c r="V37" s="512">
        <f>(T37/'Field recov'!AC37)+(U37/'Field recov'!AD37)</f>
        <v>1299.9</v>
      </c>
      <c r="W37" s="525">
        <v>253.8</v>
      </c>
      <c r="X37" s="525">
        <v>415.3</v>
      </c>
      <c r="Y37" s="540">
        <f>(W37/'Field recov'!AG37)+(X37/'Field recov'!AH37)</f>
        <v>669.1</v>
      </c>
      <c r="Z37" s="525">
        <v>4875.4</v>
      </c>
      <c r="AA37" s="525">
        <v>7076.7</v>
      </c>
      <c r="AB37" s="512">
        <f>(Z37/'Field recov'!AK37)+(AA37/'Field recov'!AL37)</f>
        <v>11952.099999999999</v>
      </c>
      <c r="AC37" s="540">
        <f t="shared" si="3"/>
        <v>13921.099999999999</v>
      </c>
      <c r="AD37" s="517">
        <f t="shared" si="10"/>
        <v>344252.29565217387</v>
      </c>
      <c r="AE37" s="518">
        <f>IF(OR(M37&lt;&gt;"",N37&lt;&gt;"",O37&lt;&gt;""),SUM(M37/'Field recov'!Q37,N37/'Field recov'!R37,O37/'Field recov'!T37),"")</f>
        <v>75.96</v>
      </c>
      <c r="AF37" s="518">
        <f t="shared" si="2"/>
        <v>395.8</v>
      </c>
      <c r="AG37" s="518">
        <f t="shared" si="6"/>
        <v>13921.099999999999</v>
      </c>
      <c r="AH37" s="518">
        <f>IF(N37&lt;&gt;"",N37/'Field recov'!R37)</f>
        <v>75.96</v>
      </c>
      <c r="AI37" s="518">
        <f t="shared" si="11"/>
        <v>278141.752173913</v>
      </c>
      <c r="AJ37" s="619">
        <v>0.9</v>
      </c>
      <c r="AK37" s="508">
        <f t="shared" si="12"/>
        <v>382502.55072463764</v>
      </c>
      <c r="AL37" s="508">
        <f t="shared" si="13"/>
        <v>84.39999999999999</v>
      </c>
      <c r="AM37" s="508">
        <f t="shared" si="8"/>
        <v>439.77777777777777</v>
      </c>
      <c r="AN37" s="508">
        <f t="shared" si="7"/>
        <v>15467.888888888887</v>
      </c>
      <c r="AO37" s="508">
        <f>AH37/AJ37</f>
        <v>84.39999999999999</v>
      </c>
      <c r="AP37" s="508">
        <f t="shared" si="4"/>
        <v>477.206572769953</v>
      </c>
      <c r="AR37" s="508">
        <f t="shared" si="14"/>
        <v>309046.3913043478</v>
      </c>
    </row>
    <row r="38" spans="1:44" ht="12.75">
      <c r="A38" s="511" t="s">
        <v>222</v>
      </c>
      <c r="B38" s="525">
        <v>83840.6</v>
      </c>
      <c r="C38" s="525">
        <v>123627.1</v>
      </c>
      <c r="D38" s="512">
        <f>(B38/'Field recov'!B38)+(C38/'Field recov'!C38)</f>
        <v>225508.3695652174</v>
      </c>
      <c r="E38" s="525">
        <v>75444.2</v>
      </c>
      <c r="F38" s="525">
        <v>60097.6</v>
      </c>
      <c r="G38" s="512">
        <f>(E38/'Field recov'!F38)+(F38/'Field recov'!G38)</f>
        <v>147328.04347826086</v>
      </c>
      <c r="H38" s="525">
        <v>90381.7</v>
      </c>
      <c r="I38" s="525">
        <v>119949.9</v>
      </c>
      <c r="J38" s="512">
        <f>(H38/'Field recov'!J38)+(I38/'Field recov'!K38)</f>
        <v>228621.30434782605</v>
      </c>
      <c r="K38" s="509">
        <f t="shared" si="9"/>
        <v>601457.7173913043</v>
      </c>
      <c r="L38" s="518">
        <f>(E38/'Field recov'!F38)/2+(F38/'Field recov'!G38)</f>
        <v>106325.76086956522</v>
      </c>
      <c r="M38" s="520">
        <v>18523.1</v>
      </c>
      <c r="N38" s="520"/>
      <c r="O38" s="520"/>
      <c r="P38" s="521">
        <v>34.07</v>
      </c>
      <c r="Q38" s="513">
        <f>(P38*29)/('Field recov'!V38*2)</f>
        <v>695.7957746478874</v>
      </c>
      <c r="R38" s="511">
        <v>1325.8</v>
      </c>
      <c r="S38" s="512">
        <f>(R38*2)/'Field recov'!AA38</f>
        <v>2651.6</v>
      </c>
      <c r="T38" s="525">
        <v>46124.1</v>
      </c>
      <c r="U38" s="525">
        <v>50738.8</v>
      </c>
      <c r="V38" s="512">
        <f>(T38/'Field recov'!AC38)+(U38/'Field recov'!AD38)</f>
        <v>96862.9</v>
      </c>
      <c r="W38" s="525">
        <v>26765.2</v>
      </c>
      <c r="X38" s="525">
        <v>5091.1</v>
      </c>
      <c r="Y38" s="540">
        <f>(W38/'Field recov'!AG38)+(X38/'Field recov'!AH38)</f>
        <v>31856.300000000003</v>
      </c>
      <c r="Z38" s="525">
        <v>46063.8</v>
      </c>
      <c r="AA38" s="525">
        <v>15340.9</v>
      </c>
      <c r="AB38" s="512">
        <f>(Z38/'Field recov'!AK38)+(AA38/'Field recov'!AL38)</f>
        <v>61404.700000000004</v>
      </c>
      <c r="AC38" s="540">
        <f t="shared" si="3"/>
        <v>190123.9</v>
      </c>
      <c r="AD38" s="517">
        <f t="shared" si="10"/>
        <v>791581.6173913043</v>
      </c>
      <c r="AE38" s="518">
        <f>IF(OR(M38&lt;&gt;"",N38&lt;&gt;"",O38&lt;&gt;""),SUM(M38/'Field recov'!Q38,N38/'Field recov'!R38,O38/'Field recov'!T38),"")</f>
        <v>18523.1</v>
      </c>
      <c r="AF38" s="518">
        <f t="shared" si="2"/>
        <v>2651.6</v>
      </c>
      <c r="AG38" s="518">
        <f t="shared" si="6"/>
        <v>190123.9</v>
      </c>
      <c r="AH38" s="518"/>
      <c r="AI38" s="518">
        <f t="shared" si="11"/>
        <v>525070.9652173913</v>
      </c>
      <c r="AJ38" s="619">
        <v>0.9</v>
      </c>
      <c r="AK38" s="508">
        <f t="shared" si="12"/>
        <v>879535.1304347826</v>
      </c>
      <c r="AL38" s="508">
        <f t="shared" si="13"/>
        <v>20581.22222222222</v>
      </c>
      <c r="AM38" s="508">
        <f t="shared" si="8"/>
        <v>2946.222222222222</v>
      </c>
      <c r="AN38" s="508">
        <f t="shared" si="7"/>
        <v>211248.77777777775</v>
      </c>
      <c r="AO38" s="508"/>
      <c r="AP38" s="508">
        <f t="shared" si="4"/>
        <v>773.1064162754303</v>
      </c>
      <c r="AR38" s="508">
        <f t="shared" si="14"/>
        <v>583412.1835748792</v>
      </c>
    </row>
    <row r="39" spans="1:44" ht="12.75">
      <c r="A39" s="511" t="s">
        <v>223</v>
      </c>
      <c r="B39" s="525">
        <v>39625.2</v>
      </c>
      <c r="C39" s="525">
        <v>61134.9</v>
      </c>
      <c r="D39" s="512">
        <f>(B39/'Field recov'!B39)+(C39/'Field recov'!C39)</f>
        <v>109521.84782608695</v>
      </c>
      <c r="E39" s="525">
        <v>38876.5</v>
      </c>
      <c r="F39" s="525">
        <v>26873.2</v>
      </c>
      <c r="G39" s="512">
        <f>(E39/'Field recov'!F39)+(F39/'Field recov'!G39)</f>
        <v>71467.0652173913</v>
      </c>
      <c r="H39" s="525">
        <v>73183.2</v>
      </c>
      <c r="I39" s="525">
        <v>116659.2</v>
      </c>
      <c r="J39" s="512">
        <f>(H39/'Field recov'!J39)+(I39/'Field recov'!K39)</f>
        <v>206350.43478260867</v>
      </c>
      <c r="K39" s="509">
        <f t="shared" si="9"/>
        <v>387339.3478260869</v>
      </c>
      <c r="L39" s="518">
        <f>(E39/'Field recov'!F39)/2+(F39/'Field recov'!G39)</f>
        <v>50338.53260869565</v>
      </c>
      <c r="M39" s="520">
        <v>13983.9</v>
      </c>
      <c r="N39" s="520"/>
      <c r="O39" s="520"/>
      <c r="P39" s="521">
        <v>44.79</v>
      </c>
      <c r="Q39" s="513">
        <f>(P39*29)/('Field recov'!V39*2)</f>
        <v>914.7253521126762</v>
      </c>
      <c r="R39" s="511">
        <v>223.4</v>
      </c>
      <c r="S39" s="512">
        <f>(R39*2)/'Field recov'!AA39</f>
        <v>446.8</v>
      </c>
      <c r="T39" s="525">
        <v>24116.5</v>
      </c>
      <c r="U39" s="525">
        <v>12893</v>
      </c>
      <c r="V39" s="512">
        <f>(T39/'Field recov'!AC39)+(U39/'Field recov'!AD39)</f>
        <v>37009.5</v>
      </c>
      <c r="W39" s="525">
        <v>16038.6</v>
      </c>
      <c r="X39" s="525">
        <v>10566.7</v>
      </c>
      <c r="Y39" s="540">
        <f>(W39/'Field recov'!AG39)+(X39/'Field recov'!AH39)</f>
        <v>26605.300000000003</v>
      </c>
      <c r="Z39" s="525">
        <v>28730.7</v>
      </c>
      <c r="AA39" s="525">
        <v>16692.8</v>
      </c>
      <c r="AB39" s="512">
        <f>(Z39/'Field recov'!AK39)+(AA39/'Field recov'!AL39)</f>
        <v>45423.5</v>
      </c>
      <c r="AC39" s="540">
        <f t="shared" si="3"/>
        <v>109038.3</v>
      </c>
      <c r="AD39" s="517">
        <f t="shared" si="10"/>
        <v>496377.6478260869</v>
      </c>
      <c r="AE39" s="518">
        <f>IF(OR(M39&lt;&gt;"",N39&lt;&gt;"",O39&lt;&gt;""),SUM(M39/'Field recov'!Q39,N39/'Field recov'!R39,O39/'Field recov'!T39),"")</f>
        <v>13983.9</v>
      </c>
      <c r="AF39" s="518">
        <f t="shared" si="2"/>
        <v>446.8</v>
      </c>
      <c r="AG39" s="518">
        <f t="shared" si="6"/>
        <v>109038.3</v>
      </c>
      <c r="AH39" s="518"/>
      <c r="AI39" s="518">
        <f t="shared" si="11"/>
        <v>365727.2673913043</v>
      </c>
      <c r="AJ39" s="619">
        <v>1.36</v>
      </c>
      <c r="AK39" s="508">
        <f t="shared" si="12"/>
        <v>364983.56457800505</v>
      </c>
      <c r="AL39" s="508">
        <f t="shared" si="13"/>
        <v>10282.279411764704</v>
      </c>
      <c r="AM39" s="508">
        <f t="shared" si="8"/>
        <v>328.52941176470586</v>
      </c>
      <c r="AN39" s="508">
        <f t="shared" si="7"/>
        <v>80175.22058823529</v>
      </c>
      <c r="AO39" s="508"/>
      <c r="AP39" s="508">
        <f t="shared" si="4"/>
        <v>672.5921706710853</v>
      </c>
      <c r="AR39" s="508">
        <f t="shared" si="14"/>
        <v>268917.10837595904</v>
      </c>
    </row>
    <row r="40" spans="1:44" ht="12.75">
      <c r="A40" s="511" t="s">
        <v>224</v>
      </c>
      <c r="B40" s="525">
        <v>27741.3</v>
      </c>
      <c r="C40" s="525">
        <v>49950.8</v>
      </c>
      <c r="D40" s="512">
        <f>(B40/'Field recov'!B40)+(C40/'Field recov'!C40)</f>
        <v>84447.9347826087</v>
      </c>
      <c r="E40" s="525">
        <v>24157.7</v>
      </c>
      <c r="F40" s="525">
        <v>31031.1</v>
      </c>
      <c r="G40" s="512">
        <f>(E40/'Field recov'!F40)+(F40/'Field recov'!G40)</f>
        <v>59987.82608695652</v>
      </c>
      <c r="H40" s="525">
        <v>56291.2</v>
      </c>
      <c r="I40" s="525">
        <v>69676.9</v>
      </c>
      <c r="J40" s="512">
        <f>(H40/'Field recov'!J40)+(I40/'Field recov'!K40)</f>
        <v>136921.84782608695</v>
      </c>
      <c r="K40" s="509">
        <f t="shared" si="9"/>
        <v>281357.60869565216</v>
      </c>
      <c r="L40" s="518">
        <f>(E40/'Field recov'!F40)/2+(F40/'Field recov'!G40)</f>
        <v>46858.641304347824</v>
      </c>
      <c r="M40" s="520">
        <v>19741.6</v>
      </c>
      <c r="N40" s="520"/>
      <c r="O40" s="520"/>
      <c r="P40" s="521">
        <v>37.4</v>
      </c>
      <c r="Q40" s="513">
        <f>(P40*29)/('Field recov'!V40*2.2)</f>
        <v>694.3661971830985</v>
      </c>
      <c r="R40" s="511">
        <v>413.9</v>
      </c>
      <c r="S40" s="512">
        <f>(R40*2)/'Field recov'!AA40</f>
        <v>827.8</v>
      </c>
      <c r="T40" s="525">
        <v>1436.2</v>
      </c>
      <c r="U40" s="525">
        <v>1159.3</v>
      </c>
      <c r="V40" s="512">
        <f>(T40/'Field recov'!AC40)+(U40/'Field recov'!AD40)</f>
        <v>2595.5</v>
      </c>
      <c r="W40" s="525">
        <v>910.4</v>
      </c>
      <c r="X40" s="525">
        <v>1636.4</v>
      </c>
      <c r="Y40" s="540">
        <f>(W40/'Field recov'!AG40)+(X40/'Field recov'!AH40)</f>
        <v>2546.8</v>
      </c>
      <c r="Z40" s="525">
        <v>2739.5</v>
      </c>
      <c r="AA40" s="525">
        <v>379.8</v>
      </c>
      <c r="AB40" s="512">
        <f>(Z40/'Field recov'!AK40)+(AA40/'Field recov'!AL40)</f>
        <v>3119.3</v>
      </c>
      <c r="AC40" s="540">
        <f t="shared" si="3"/>
        <v>8261.6</v>
      </c>
      <c r="AD40" s="517">
        <f t="shared" si="10"/>
        <v>289619.20869565214</v>
      </c>
      <c r="AE40" s="518">
        <f>IF(OR(M40&lt;&gt;"",N40&lt;&gt;"",O40&lt;&gt;""),SUM(M40/'Field recov'!Q40,N40/'Field recov'!R40,O40/'Field recov'!T40),"")</f>
        <v>19741.6</v>
      </c>
      <c r="AF40" s="518">
        <f t="shared" si="2"/>
        <v>827.8</v>
      </c>
      <c r="AG40" s="518">
        <f t="shared" si="6"/>
        <v>8261.6</v>
      </c>
      <c r="AH40" s="518"/>
      <c r="AI40" s="518">
        <f t="shared" si="11"/>
        <v>192042.08913043476</v>
      </c>
      <c r="AJ40" s="619">
        <v>0.75</v>
      </c>
      <c r="AK40" s="508">
        <f t="shared" si="12"/>
        <v>386158.9449275362</v>
      </c>
      <c r="AL40" s="508">
        <f t="shared" si="13"/>
        <v>26322.13333333333</v>
      </c>
      <c r="AM40" s="508">
        <f t="shared" si="8"/>
        <v>1103.7333333333333</v>
      </c>
      <c r="AN40" s="508">
        <f t="shared" si="7"/>
        <v>11015.466666666667</v>
      </c>
      <c r="AO40" s="508"/>
      <c r="AP40" s="508">
        <f t="shared" si="4"/>
        <v>925.8215962441313</v>
      </c>
      <c r="AR40" s="508">
        <f t="shared" si="14"/>
        <v>256056.11884057967</v>
      </c>
    </row>
    <row r="41" spans="1:44" ht="12.75">
      <c r="A41" s="511" t="s">
        <v>225</v>
      </c>
      <c r="B41" s="525">
        <v>1273.1</v>
      </c>
      <c r="C41" s="525">
        <v>2796.4</v>
      </c>
      <c r="D41" s="512">
        <f>(B41/'Field recov'!B41)+(C41/'Field recov'!C41)</f>
        <v>4423.369565217391</v>
      </c>
      <c r="E41" s="525">
        <v>670.5</v>
      </c>
      <c r="F41" s="525">
        <v>2387.2</v>
      </c>
      <c r="G41" s="512">
        <f>(E41/'Field recov'!F41)+(F41/'Field recov'!G41)</f>
        <v>3356.71442687747</v>
      </c>
      <c r="H41" s="525">
        <v>9164.1</v>
      </c>
      <c r="I41" s="525">
        <v>26246.7</v>
      </c>
      <c r="J41" s="512">
        <f>(H41/'Field recov'!J41)+(I41/'Field recov'!K41)</f>
        <v>38490</v>
      </c>
      <c r="K41" s="509">
        <f t="shared" si="9"/>
        <v>46270.083992094864</v>
      </c>
      <c r="L41" s="518">
        <f>(E41/'Field recov'!F41)/2+(F41/'Field recov'!G41)</f>
        <v>2975.748517786561</v>
      </c>
      <c r="M41" s="520">
        <v>7305</v>
      </c>
      <c r="N41" s="520"/>
      <c r="O41" s="520"/>
      <c r="P41" s="521" t="s">
        <v>464</v>
      </c>
      <c r="Q41" s="513">
        <f>(0.05*29)/2.3</f>
        <v>0.6304347826086958</v>
      </c>
      <c r="R41" s="511">
        <v>49.81</v>
      </c>
      <c r="S41" s="512">
        <f>(R41*2)/'Field recov'!AA41</f>
        <v>99.62</v>
      </c>
      <c r="T41" s="525">
        <v>11.7</v>
      </c>
      <c r="U41" s="525">
        <v>250.6</v>
      </c>
      <c r="V41" s="512">
        <f>(T41/'Field recov'!AC41)+(U41/'Field recov'!AD41)</f>
        <v>262.3</v>
      </c>
      <c r="W41" s="525">
        <v>39.48</v>
      </c>
      <c r="X41" s="525">
        <v>33.16</v>
      </c>
      <c r="Y41" s="540">
        <f>(W41/'Field recov'!AG41)+(X41/'Field recov'!AH41)</f>
        <v>72.63999999999999</v>
      </c>
      <c r="Z41" s="525">
        <v>18.99</v>
      </c>
      <c r="AA41" s="525">
        <v>7.444</v>
      </c>
      <c r="AB41" s="512">
        <f>(Z41/'Field recov'!AK41)+(AA41/'Field recov'!AL41)</f>
        <v>26.433999999999997</v>
      </c>
      <c r="AC41" s="540">
        <f t="shared" si="3"/>
        <v>361.374</v>
      </c>
      <c r="AD41" s="517">
        <f t="shared" si="10"/>
        <v>46631.45799209487</v>
      </c>
      <c r="AE41" s="518">
        <f>IF(OR(M41&lt;&gt;"",N41&lt;&gt;"",O41&lt;&gt;""),SUM(M41/'Field recov'!Q41,N41/'Field recov'!R41,O41/'Field recov'!T41),"")</f>
        <v>7305</v>
      </c>
      <c r="AF41" s="518">
        <f t="shared" si="2"/>
        <v>99.62</v>
      </c>
      <c r="AG41" s="518">
        <f t="shared" si="6"/>
        <v>361.374</v>
      </c>
      <c r="AH41" s="518"/>
      <c r="AI41" s="518">
        <f t="shared" si="11"/>
        <v>41827.12251778656</v>
      </c>
      <c r="AJ41" s="624">
        <v>0.566</v>
      </c>
      <c r="AK41" s="508">
        <f t="shared" si="12"/>
        <v>82387.73496836549</v>
      </c>
      <c r="AL41" s="508">
        <f t="shared" si="13"/>
        <v>12906.36042402827</v>
      </c>
      <c r="AM41" s="508">
        <f t="shared" si="8"/>
        <v>176.0070671378092</v>
      </c>
      <c r="AN41" s="508">
        <f t="shared" si="7"/>
        <v>638.4699646643111</v>
      </c>
      <c r="AO41" s="508"/>
      <c r="AP41" s="508">
        <f t="shared" si="4"/>
        <v>1.1138423721001693</v>
      </c>
      <c r="AR41" s="508">
        <f t="shared" si="14"/>
        <v>73899.50974873953</v>
      </c>
    </row>
    <row r="42" spans="1:44" ht="12.75">
      <c r="A42" s="511" t="s">
        <v>226</v>
      </c>
      <c r="B42" s="525">
        <v>16650.2</v>
      </c>
      <c r="C42" s="525">
        <v>27940.2</v>
      </c>
      <c r="D42" s="512">
        <f>(B42/'Field recov'!B42)+(C42/'Field recov'!C42)</f>
        <v>48467.82608695652</v>
      </c>
      <c r="E42" s="525">
        <v>13417.2</v>
      </c>
      <c r="F42" s="525">
        <v>16287.1</v>
      </c>
      <c r="G42" s="512">
        <f>(E42/'Field recov'!F42)+(F42/'Field recov'!G42)</f>
        <v>32287.282608695656</v>
      </c>
      <c r="H42" s="525">
        <v>24261.2</v>
      </c>
      <c r="I42" s="525">
        <v>44858</v>
      </c>
      <c r="J42" s="512">
        <f>(H42/'Field recov'!J42)+(I42/'Field recov'!K42)</f>
        <v>75129.5652173913</v>
      </c>
      <c r="K42" s="509">
        <f t="shared" si="9"/>
        <v>155884.67391304346</v>
      </c>
      <c r="L42" s="518">
        <f>(E42/'Field recov'!F42)/2+(F42/'Field recov'!G42)</f>
        <v>24995.326086956524</v>
      </c>
      <c r="M42" s="520">
        <v>37263.8</v>
      </c>
      <c r="N42" s="520"/>
      <c r="O42" s="520"/>
      <c r="P42" s="521">
        <v>21.56</v>
      </c>
      <c r="Q42" s="513">
        <f>(P42*29)/('Field recov'!V42*2.2)</f>
        <v>400.28169014084506</v>
      </c>
      <c r="R42" s="511">
        <v>212.5</v>
      </c>
      <c r="S42" s="512">
        <f>(R42*2)/'Field recov'!AA42</f>
        <v>425</v>
      </c>
      <c r="T42" s="525">
        <v>77.4</v>
      </c>
      <c r="U42" s="525">
        <v>2975.8</v>
      </c>
      <c r="V42" s="512">
        <f>(T42/'Field recov'!AC42)+(U42/'Field recov'!AD42)</f>
        <v>3053.2000000000003</v>
      </c>
      <c r="W42" s="525">
        <v>743.7</v>
      </c>
      <c r="X42" s="525">
        <v>314.5</v>
      </c>
      <c r="Y42" s="540">
        <f>(W42/'Field recov'!AG42)+(X42/'Field recov'!AH42)</f>
        <v>1058.2</v>
      </c>
      <c r="Z42" s="525">
        <v>188</v>
      </c>
      <c r="AA42" s="525">
        <v>24.34</v>
      </c>
      <c r="AB42" s="512">
        <f>(Z42/'Field recov'!AK42)+(AA42/'Field recov'!AL42)</f>
        <v>212.34</v>
      </c>
      <c r="AC42" s="540">
        <f t="shared" si="3"/>
        <v>4323.740000000001</v>
      </c>
      <c r="AD42" s="517">
        <f t="shared" si="10"/>
        <v>160208.41391304345</v>
      </c>
      <c r="AE42" s="518">
        <f>IF(OR(M42&lt;&gt;"",N42&lt;&gt;"",O42&lt;&gt;""),SUM(M42/'Field recov'!Q42,N42/'Field recov'!R42,O42/'Field recov'!T42),"")</f>
        <v>37263.8</v>
      </c>
      <c r="AF42" s="518">
        <f t="shared" si="2"/>
        <v>425</v>
      </c>
      <c r="AG42" s="518">
        <f t="shared" si="6"/>
        <v>4323.740000000001</v>
      </c>
      <c r="AH42" s="518"/>
      <c r="AI42" s="518">
        <f t="shared" si="11"/>
        <v>104448.63130434783</v>
      </c>
      <c r="AJ42" s="619">
        <v>0.525</v>
      </c>
      <c r="AK42" s="508">
        <f t="shared" si="12"/>
        <v>305158.88364389224</v>
      </c>
      <c r="AL42" s="508">
        <f t="shared" si="13"/>
        <v>70978.66666666667</v>
      </c>
      <c r="AM42" s="508">
        <f t="shared" si="8"/>
        <v>809.5238095238095</v>
      </c>
      <c r="AN42" s="508">
        <f t="shared" si="7"/>
        <v>8235.695238095239</v>
      </c>
      <c r="AO42" s="508"/>
      <c r="AP42" s="508">
        <f t="shared" si="4"/>
        <v>762.4413145539905</v>
      </c>
      <c r="AR42" s="508">
        <f t="shared" si="14"/>
        <v>198949.77391304346</v>
      </c>
    </row>
    <row r="43" spans="1:44" ht="12.75">
      <c r="A43" s="511" t="s">
        <v>227</v>
      </c>
      <c r="B43" s="525">
        <v>2573.4</v>
      </c>
      <c r="C43" s="525">
        <v>8085.9</v>
      </c>
      <c r="D43" s="512">
        <f>(B43/'Field recov'!B43)+(C43/'Field recov'!C43)</f>
        <v>11586.195652173912</v>
      </c>
      <c r="E43" s="525">
        <v>2703.5</v>
      </c>
      <c r="F43" s="525">
        <v>4035.5</v>
      </c>
      <c r="G43" s="512">
        <f>(E43/'Field recov'!F43)+(F43/'Field recov'!G43)</f>
        <v>7325</v>
      </c>
      <c r="H43" s="525">
        <v>13778.1</v>
      </c>
      <c r="I43" s="525">
        <v>30189.8</v>
      </c>
      <c r="J43" s="512">
        <f>(H43/'Field recov'!J43)+(I43/'Field recov'!K43)</f>
        <v>47791.19565217391</v>
      </c>
      <c r="K43" s="509">
        <f t="shared" si="9"/>
        <v>66702.39130434782</v>
      </c>
      <c r="L43" s="518">
        <f>(E43/'Field recov'!F43)/2+(F43/'Field recov'!G43)</f>
        <v>5855.70652173913</v>
      </c>
      <c r="M43" s="520">
        <v>5438.9</v>
      </c>
      <c r="N43" s="520"/>
      <c r="O43" s="520"/>
      <c r="P43" s="521">
        <v>4.854</v>
      </c>
      <c r="Q43" s="513">
        <f>(P43*29)/('Field recov'!V43*2)</f>
        <v>99.13098591549296</v>
      </c>
      <c r="R43" s="511">
        <v>46.53</v>
      </c>
      <c r="S43" s="512">
        <f>(R43*2)/'Field recov'!AA43</f>
        <v>93.06</v>
      </c>
      <c r="T43" s="525">
        <v>16.1</v>
      </c>
      <c r="U43" s="525">
        <v>39.22</v>
      </c>
      <c r="V43" s="512">
        <f>(T43/'Field recov'!AC43)+(U43/'Field recov'!AD43)</f>
        <v>55.32</v>
      </c>
      <c r="W43" s="525">
        <v>95.44</v>
      </c>
      <c r="X43" s="525">
        <v>55.59</v>
      </c>
      <c r="Y43" s="540">
        <f>(W43/'Field recov'!AG43)+(X43/'Field recov'!AH43)</f>
        <v>151.03</v>
      </c>
      <c r="Z43" s="525">
        <v>113.1</v>
      </c>
      <c r="AA43" s="525">
        <v>720.6</v>
      </c>
      <c r="AB43" s="512">
        <f>(Z43/'Field recov'!AK43)+(AA43/'Field recov'!AL43)</f>
        <v>833.7</v>
      </c>
      <c r="AC43" s="540">
        <f t="shared" si="3"/>
        <v>1040.05</v>
      </c>
      <c r="AD43" s="517">
        <f t="shared" si="10"/>
        <v>67742.44130434783</v>
      </c>
      <c r="AE43" s="518">
        <f>IF(OR(M43&lt;&gt;"",N43&lt;&gt;"",O43&lt;&gt;""),SUM(M43/'Field recov'!Q43,N43/'Field recov'!R43,O43/'Field recov'!T43),"")</f>
        <v>5438.9</v>
      </c>
      <c r="AF43" s="518">
        <f t="shared" si="2"/>
        <v>93.06</v>
      </c>
      <c r="AG43" s="518">
        <f t="shared" si="6"/>
        <v>1040.05</v>
      </c>
      <c r="AH43" s="518"/>
      <c r="AI43" s="518">
        <f t="shared" si="11"/>
        <v>54686.95217391304</v>
      </c>
      <c r="AJ43" s="619">
        <v>0.825</v>
      </c>
      <c r="AK43" s="508">
        <f t="shared" si="12"/>
        <v>82112.05006587616</v>
      </c>
      <c r="AL43" s="508">
        <f t="shared" si="13"/>
        <v>6592.606060606061</v>
      </c>
      <c r="AM43" s="508">
        <f t="shared" si="8"/>
        <v>112.80000000000001</v>
      </c>
      <c r="AN43" s="508">
        <f t="shared" si="7"/>
        <v>1260.6666666666667</v>
      </c>
      <c r="AO43" s="508"/>
      <c r="AP43" s="508">
        <f t="shared" si="4"/>
        <v>120.15877080665814</v>
      </c>
      <c r="AR43" s="508">
        <f t="shared" si="14"/>
        <v>66287.21475625824</v>
      </c>
    </row>
    <row r="44" spans="1:44" ht="12.75">
      <c r="A44" s="511" t="s">
        <v>228</v>
      </c>
      <c r="B44" s="525">
        <v>9118.6</v>
      </c>
      <c r="C44" s="525">
        <v>9347</v>
      </c>
      <c r="D44" s="512">
        <f>(B44/'Field recov'!B44)+(C44/'Field recov'!C44)</f>
        <v>20071.304347826088</v>
      </c>
      <c r="E44" s="525">
        <v>8235.7</v>
      </c>
      <c r="F44" s="525">
        <v>6704</v>
      </c>
      <c r="G44" s="512">
        <f>(E44/'Field recov'!F44)+(F44/'Field recov'!G44)</f>
        <v>16238.804347826086</v>
      </c>
      <c r="H44" s="525">
        <v>14422.2</v>
      </c>
      <c r="I44" s="525">
        <v>47402.9</v>
      </c>
      <c r="J44" s="512">
        <f>(H44/'Field recov'!J44)+(I44/'Field recov'!K44)</f>
        <v>67201.19565217392</v>
      </c>
      <c r="K44" s="509">
        <f t="shared" si="9"/>
        <v>103511.3043478261</v>
      </c>
      <c r="L44" s="518">
        <f>(E44/'Field recov'!F44)/2+(F44/'Field recov'!G44)</f>
        <v>11762.880434782608</v>
      </c>
      <c r="M44" s="520">
        <v>13121.9</v>
      </c>
      <c r="N44" s="520"/>
      <c r="O44" s="520"/>
      <c r="P44" s="521">
        <v>34.58</v>
      </c>
      <c r="Q44" s="513">
        <f>(P44*29)/('Field recov'!V44*2)</f>
        <v>706.2112676056338</v>
      </c>
      <c r="R44" s="511">
        <v>237.9</v>
      </c>
      <c r="S44" s="512">
        <f>(R44*2)/'Field recov'!AA44</f>
        <v>475.8</v>
      </c>
      <c r="T44" s="525">
        <v>55.55</v>
      </c>
      <c r="U44" s="525">
        <v>142.7</v>
      </c>
      <c r="V44" s="512">
        <f>(T44/'Field recov'!AC44)+(U44/'Field recov'!AD44)</f>
        <v>198.25</v>
      </c>
      <c r="W44" s="525">
        <v>255.7</v>
      </c>
      <c r="X44" s="525">
        <v>301.2</v>
      </c>
      <c r="Y44" s="540">
        <f>(W44/'Field recov'!AG44)+(X44/'Field recov'!AH44)</f>
        <v>556.9</v>
      </c>
      <c r="Z44" s="525">
        <v>157.1</v>
      </c>
      <c r="AA44" s="525">
        <v>75.46</v>
      </c>
      <c r="AB44" s="512">
        <f>(Z44/'Field recov'!AK44)+(AA44/'Field recov'!AL44)</f>
        <v>232.56</v>
      </c>
      <c r="AC44" s="540">
        <f t="shared" si="3"/>
        <v>987.71</v>
      </c>
      <c r="AD44" s="517">
        <f t="shared" si="10"/>
        <v>104499.0143478261</v>
      </c>
      <c r="AE44" s="518">
        <f>IF(OR(M44&lt;&gt;"",N44&lt;&gt;"",O44&lt;&gt;""),SUM(M44/'Field recov'!Q44,N44/'Field recov'!R44,O44/'Field recov'!T44),"")</f>
        <v>13121.9</v>
      </c>
      <c r="AF44" s="518">
        <f t="shared" si="2"/>
        <v>475.8</v>
      </c>
      <c r="AG44" s="518">
        <f t="shared" si="6"/>
        <v>987.71</v>
      </c>
      <c r="AH44" s="518"/>
      <c r="AI44" s="518">
        <f t="shared" si="11"/>
        <v>79951.78608695653</v>
      </c>
      <c r="AJ44" s="619">
        <v>1.35</v>
      </c>
      <c r="AK44" s="508">
        <f t="shared" si="12"/>
        <v>77406.677294686</v>
      </c>
      <c r="AL44" s="508">
        <f t="shared" si="13"/>
        <v>9719.925925925925</v>
      </c>
      <c r="AM44" s="508">
        <f t="shared" si="8"/>
        <v>352.44444444444446</v>
      </c>
      <c r="AN44" s="508">
        <f t="shared" si="7"/>
        <v>731.637037037037</v>
      </c>
      <c r="AO44" s="508"/>
      <c r="AP44" s="508">
        <f t="shared" si="4"/>
        <v>523.1194574856546</v>
      </c>
      <c r="AR44" s="508">
        <f t="shared" si="14"/>
        <v>59223.54524959743</v>
      </c>
    </row>
    <row r="45" spans="1:44" s="536" customFormat="1" ht="12.75" hidden="1">
      <c r="A45" s="548" t="s">
        <v>260</v>
      </c>
      <c r="B45" s="526"/>
      <c r="C45" s="526"/>
      <c r="D45" s="516"/>
      <c r="E45" s="526"/>
      <c r="F45" s="526"/>
      <c r="G45" s="516"/>
      <c r="H45" s="526"/>
      <c r="I45" s="526"/>
      <c r="J45" s="516"/>
      <c r="K45" s="527"/>
      <c r="L45" s="527"/>
      <c r="M45" s="519"/>
      <c r="N45" s="519"/>
      <c r="O45" s="519"/>
      <c r="P45" s="514"/>
      <c r="Q45" s="596"/>
      <c r="R45" s="515"/>
      <c r="S45" s="516"/>
      <c r="T45" s="526"/>
      <c r="U45" s="526"/>
      <c r="V45" s="516"/>
      <c r="W45" s="526"/>
      <c r="X45" s="526"/>
      <c r="Y45" s="530"/>
      <c r="Z45" s="526"/>
      <c r="AA45" s="526"/>
      <c r="AB45" s="516"/>
      <c r="AC45" s="530"/>
      <c r="AD45" s="516"/>
      <c r="AE45" s="527"/>
      <c r="AF45" s="527"/>
      <c r="AG45" s="527"/>
      <c r="AH45" s="527"/>
      <c r="AI45" s="527"/>
      <c r="AJ45" s="623"/>
      <c r="AK45" s="561"/>
      <c r="AL45" s="562"/>
      <c r="AM45" s="561"/>
      <c r="AN45" s="561"/>
      <c r="AO45" s="561"/>
      <c r="AP45" s="561"/>
      <c r="AR45" s="561"/>
    </row>
    <row r="46" spans="1:44" ht="12.75" hidden="1">
      <c r="A46" s="523" t="s">
        <v>261</v>
      </c>
      <c r="B46" s="525"/>
      <c r="C46" s="525"/>
      <c r="D46" s="512"/>
      <c r="E46" s="525"/>
      <c r="F46" s="525"/>
      <c r="G46" s="512"/>
      <c r="H46" s="525"/>
      <c r="I46" s="525"/>
      <c r="J46" s="512"/>
      <c r="K46" s="509"/>
      <c r="L46" s="518"/>
      <c r="M46" s="520"/>
      <c r="N46" s="520"/>
      <c r="O46" s="520"/>
      <c r="P46" s="521"/>
      <c r="Q46" s="513"/>
      <c r="R46" s="511"/>
      <c r="S46" s="512"/>
      <c r="T46" s="525"/>
      <c r="U46" s="525"/>
      <c r="V46" s="512"/>
      <c r="W46" s="525"/>
      <c r="X46" s="525"/>
      <c r="Y46" s="540"/>
      <c r="Z46" s="525"/>
      <c r="AA46" s="525"/>
      <c r="AB46" s="512"/>
      <c r="AC46" s="540"/>
      <c r="AD46" s="517"/>
      <c r="AE46" s="518"/>
      <c r="AF46" s="518"/>
      <c r="AG46" s="518"/>
      <c r="AH46" s="518"/>
      <c r="AI46" s="518"/>
      <c r="AJ46" s="619"/>
      <c r="AK46" s="508"/>
      <c r="AL46" s="563"/>
      <c r="AM46" s="508"/>
      <c r="AN46" s="508"/>
      <c r="AO46" s="508"/>
      <c r="AP46" s="508"/>
      <c r="AR46" s="508"/>
    </row>
    <row r="47" spans="1:44" ht="12.75" hidden="1">
      <c r="A47" s="523" t="s">
        <v>262</v>
      </c>
      <c r="B47" s="525"/>
      <c r="C47" s="525"/>
      <c r="D47" s="512"/>
      <c r="E47" s="525"/>
      <c r="F47" s="525"/>
      <c r="G47" s="512"/>
      <c r="H47" s="525"/>
      <c r="I47" s="525"/>
      <c r="J47" s="512"/>
      <c r="K47" s="509"/>
      <c r="L47" s="518"/>
      <c r="M47" s="520"/>
      <c r="N47" s="520"/>
      <c r="O47" s="520"/>
      <c r="P47" s="521"/>
      <c r="Q47" s="513"/>
      <c r="R47" s="511"/>
      <c r="S47" s="512"/>
      <c r="T47" s="525"/>
      <c r="U47" s="525"/>
      <c r="V47" s="512"/>
      <c r="W47" s="525"/>
      <c r="X47" s="525"/>
      <c r="Y47" s="540"/>
      <c r="Z47" s="525"/>
      <c r="AA47" s="525"/>
      <c r="AB47" s="512"/>
      <c r="AC47" s="540"/>
      <c r="AD47" s="517"/>
      <c r="AE47" s="518"/>
      <c r="AF47" s="518"/>
      <c r="AG47" s="518"/>
      <c r="AH47" s="518"/>
      <c r="AI47" s="518"/>
      <c r="AJ47" s="619"/>
      <c r="AK47" s="508"/>
      <c r="AL47" s="563"/>
      <c r="AM47" s="508"/>
      <c r="AN47" s="508"/>
      <c r="AO47" s="508"/>
      <c r="AP47" s="508"/>
      <c r="AR47" s="508"/>
    </row>
    <row r="48" spans="1:44" ht="12.75" hidden="1">
      <c r="A48" s="523" t="s">
        <v>263</v>
      </c>
      <c r="B48" s="525"/>
      <c r="C48" s="525"/>
      <c r="D48" s="512"/>
      <c r="E48" s="525"/>
      <c r="F48" s="525"/>
      <c r="G48" s="512"/>
      <c r="H48" s="525"/>
      <c r="I48" s="525"/>
      <c r="J48" s="512"/>
      <c r="K48" s="509"/>
      <c r="L48" s="518"/>
      <c r="M48" s="520"/>
      <c r="N48" s="520"/>
      <c r="O48" s="520"/>
      <c r="P48" s="521"/>
      <c r="Q48" s="513"/>
      <c r="R48" s="511"/>
      <c r="S48" s="512"/>
      <c r="T48" s="525"/>
      <c r="U48" s="525"/>
      <c r="V48" s="512"/>
      <c r="W48" s="525"/>
      <c r="X48" s="525"/>
      <c r="Y48" s="540"/>
      <c r="Z48" s="525"/>
      <c r="AA48" s="525"/>
      <c r="AB48" s="512"/>
      <c r="AC48" s="540"/>
      <c r="AD48" s="517"/>
      <c r="AE48" s="518"/>
      <c r="AF48" s="518"/>
      <c r="AG48" s="518"/>
      <c r="AH48" s="518"/>
      <c r="AI48" s="518"/>
      <c r="AJ48" s="619"/>
      <c r="AK48" s="508"/>
      <c r="AL48" s="563"/>
      <c r="AM48" s="508"/>
      <c r="AN48" s="508"/>
      <c r="AO48" s="508"/>
      <c r="AP48" s="508"/>
      <c r="AR48" s="508"/>
    </row>
    <row r="49" spans="1:44" ht="12.75" hidden="1">
      <c r="A49" s="523" t="s">
        <v>264</v>
      </c>
      <c r="B49" s="525"/>
      <c r="C49" s="525"/>
      <c r="D49" s="512"/>
      <c r="E49" s="525"/>
      <c r="F49" s="525"/>
      <c r="G49" s="512"/>
      <c r="H49" s="525"/>
      <c r="I49" s="525"/>
      <c r="J49" s="512"/>
      <c r="K49" s="509"/>
      <c r="L49" s="518"/>
      <c r="M49" s="520"/>
      <c r="N49" s="520"/>
      <c r="O49" s="520"/>
      <c r="P49" s="521"/>
      <c r="Q49" s="513"/>
      <c r="R49" s="511"/>
      <c r="S49" s="512"/>
      <c r="T49" s="525"/>
      <c r="U49" s="525"/>
      <c r="V49" s="512"/>
      <c r="W49" s="525"/>
      <c r="X49" s="525"/>
      <c r="Y49" s="540"/>
      <c r="Z49" s="525"/>
      <c r="AA49" s="525"/>
      <c r="AB49" s="512"/>
      <c r="AC49" s="540"/>
      <c r="AD49" s="517"/>
      <c r="AE49" s="518"/>
      <c r="AF49" s="518"/>
      <c r="AG49" s="518"/>
      <c r="AH49" s="518"/>
      <c r="AI49" s="518"/>
      <c r="AJ49" s="619"/>
      <c r="AK49" s="508"/>
      <c r="AL49" s="563"/>
      <c r="AM49" s="508"/>
      <c r="AN49" s="508"/>
      <c r="AO49" s="508"/>
      <c r="AP49" s="508"/>
      <c r="AR49" s="508"/>
    </row>
    <row r="50" spans="1:44" ht="12.75" hidden="1">
      <c r="A50" s="523" t="s">
        <v>265</v>
      </c>
      <c r="B50" s="525"/>
      <c r="C50" s="525"/>
      <c r="D50" s="512"/>
      <c r="E50" s="525"/>
      <c r="F50" s="525"/>
      <c r="G50" s="512"/>
      <c r="H50" s="525"/>
      <c r="I50" s="525"/>
      <c r="J50" s="512"/>
      <c r="K50" s="509"/>
      <c r="L50" s="518"/>
      <c r="M50" s="520"/>
      <c r="N50" s="520"/>
      <c r="O50" s="520"/>
      <c r="P50" s="521"/>
      <c r="Q50" s="513"/>
      <c r="R50" s="511"/>
      <c r="S50" s="512"/>
      <c r="T50" s="525"/>
      <c r="U50" s="525"/>
      <c r="V50" s="512"/>
      <c r="W50" s="525"/>
      <c r="X50" s="525"/>
      <c r="Y50" s="540"/>
      <c r="Z50" s="525"/>
      <c r="AA50" s="525"/>
      <c r="AB50" s="512"/>
      <c r="AC50" s="540"/>
      <c r="AD50" s="517"/>
      <c r="AE50" s="518"/>
      <c r="AF50" s="518"/>
      <c r="AG50" s="518"/>
      <c r="AH50" s="518"/>
      <c r="AI50" s="518"/>
      <c r="AJ50" s="619"/>
      <c r="AK50" s="508"/>
      <c r="AL50" s="563"/>
      <c r="AM50" s="508"/>
      <c r="AN50" s="508"/>
      <c r="AO50" s="508"/>
      <c r="AP50" s="508"/>
      <c r="AR50" s="508"/>
    </row>
    <row r="51" spans="1:44" ht="12.75" hidden="1">
      <c r="A51" s="523" t="s">
        <v>266</v>
      </c>
      <c r="B51" s="525"/>
      <c r="C51" s="525"/>
      <c r="D51" s="512"/>
      <c r="E51" s="525"/>
      <c r="F51" s="525"/>
      <c r="G51" s="512"/>
      <c r="H51" s="525"/>
      <c r="I51" s="525"/>
      <c r="J51" s="512"/>
      <c r="K51" s="509"/>
      <c r="L51" s="518"/>
      <c r="M51" s="520"/>
      <c r="N51" s="520"/>
      <c r="O51" s="520"/>
      <c r="P51" s="521"/>
      <c r="Q51" s="513"/>
      <c r="R51" s="511"/>
      <c r="S51" s="512"/>
      <c r="T51" s="525"/>
      <c r="U51" s="525"/>
      <c r="V51" s="512"/>
      <c r="W51" s="525"/>
      <c r="X51" s="525"/>
      <c r="Y51" s="540"/>
      <c r="Z51" s="525"/>
      <c r="AA51" s="525"/>
      <c r="AB51" s="512"/>
      <c r="AC51" s="540"/>
      <c r="AD51" s="517"/>
      <c r="AE51" s="518"/>
      <c r="AF51" s="518"/>
      <c r="AG51" s="518"/>
      <c r="AH51" s="518"/>
      <c r="AI51" s="518"/>
      <c r="AJ51" s="619"/>
      <c r="AK51" s="508"/>
      <c r="AL51" s="563"/>
      <c r="AM51" s="508"/>
      <c r="AN51" s="508"/>
      <c r="AO51" s="508"/>
      <c r="AP51" s="508"/>
      <c r="AR51" s="508"/>
    </row>
    <row r="52" spans="1:44" ht="12.75" hidden="1">
      <c r="A52" s="523" t="s">
        <v>267</v>
      </c>
      <c r="B52" s="525"/>
      <c r="C52" s="525"/>
      <c r="D52" s="512"/>
      <c r="E52" s="525"/>
      <c r="F52" s="525"/>
      <c r="G52" s="512"/>
      <c r="H52" s="525"/>
      <c r="I52" s="525"/>
      <c r="J52" s="512"/>
      <c r="K52" s="509"/>
      <c r="L52" s="518"/>
      <c r="M52" s="520"/>
      <c r="N52" s="520"/>
      <c r="O52" s="520"/>
      <c r="P52" s="521"/>
      <c r="Q52" s="513"/>
      <c r="R52" s="511"/>
      <c r="S52" s="512"/>
      <c r="T52" s="525"/>
      <c r="U52" s="525"/>
      <c r="V52" s="512"/>
      <c r="W52" s="525"/>
      <c r="X52" s="525"/>
      <c r="Y52" s="540"/>
      <c r="Z52" s="525"/>
      <c r="AA52" s="525"/>
      <c r="AB52" s="512"/>
      <c r="AC52" s="540"/>
      <c r="AD52" s="517"/>
      <c r="AE52" s="518"/>
      <c r="AF52" s="518"/>
      <c r="AG52" s="518"/>
      <c r="AH52" s="518"/>
      <c r="AI52" s="518"/>
      <c r="AJ52" s="619"/>
      <c r="AK52" s="508"/>
      <c r="AL52" s="563"/>
      <c r="AM52" s="508"/>
      <c r="AN52" s="508"/>
      <c r="AO52" s="508"/>
      <c r="AP52" s="508"/>
      <c r="AR52" s="508"/>
    </row>
    <row r="53" spans="1:44" ht="12.75" hidden="1">
      <c r="A53" s="523" t="s">
        <v>268</v>
      </c>
      <c r="B53" s="525"/>
      <c r="C53" s="525"/>
      <c r="D53" s="512"/>
      <c r="E53" s="525"/>
      <c r="F53" s="525"/>
      <c r="G53" s="512"/>
      <c r="H53" s="525"/>
      <c r="I53" s="525"/>
      <c r="J53" s="512"/>
      <c r="K53" s="509"/>
      <c r="L53" s="518"/>
      <c r="M53" s="520"/>
      <c r="N53" s="520"/>
      <c r="O53" s="520"/>
      <c r="P53" s="521"/>
      <c r="Q53" s="513"/>
      <c r="R53" s="511"/>
      <c r="S53" s="512"/>
      <c r="T53" s="525"/>
      <c r="U53" s="525"/>
      <c r="V53" s="512"/>
      <c r="W53" s="525"/>
      <c r="X53" s="525"/>
      <c r="Y53" s="540"/>
      <c r="Z53" s="525"/>
      <c r="AA53" s="525"/>
      <c r="AB53" s="512"/>
      <c r="AC53" s="540"/>
      <c r="AD53" s="517"/>
      <c r="AE53" s="518"/>
      <c r="AF53" s="518"/>
      <c r="AG53" s="518"/>
      <c r="AH53" s="518"/>
      <c r="AI53" s="518"/>
      <c r="AJ53" s="619"/>
      <c r="AK53" s="508"/>
      <c r="AL53" s="563"/>
      <c r="AM53" s="508"/>
      <c r="AN53" s="508"/>
      <c r="AO53" s="508"/>
      <c r="AP53" s="508"/>
      <c r="AR53" s="508"/>
    </row>
    <row r="54" spans="1:44" ht="12.75" hidden="1">
      <c r="A54" s="523" t="s">
        <v>269</v>
      </c>
      <c r="B54" s="525"/>
      <c r="C54" s="525"/>
      <c r="D54" s="512"/>
      <c r="E54" s="525"/>
      <c r="F54" s="525"/>
      <c r="G54" s="512"/>
      <c r="H54" s="525"/>
      <c r="I54" s="525"/>
      <c r="J54" s="512"/>
      <c r="K54" s="509"/>
      <c r="L54" s="518"/>
      <c r="M54" s="520"/>
      <c r="N54" s="520"/>
      <c r="O54" s="520"/>
      <c r="P54" s="521"/>
      <c r="Q54" s="513"/>
      <c r="R54" s="511"/>
      <c r="S54" s="512"/>
      <c r="T54" s="525"/>
      <c r="U54" s="525"/>
      <c r="V54" s="512"/>
      <c r="W54" s="525"/>
      <c r="X54" s="525"/>
      <c r="Y54" s="540"/>
      <c r="Z54" s="525"/>
      <c r="AA54" s="525"/>
      <c r="AB54" s="512"/>
      <c r="AC54" s="540"/>
      <c r="AD54" s="517"/>
      <c r="AE54" s="518"/>
      <c r="AF54" s="518"/>
      <c r="AG54" s="518"/>
      <c r="AH54" s="518"/>
      <c r="AI54" s="518"/>
      <c r="AJ54" s="619"/>
      <c r="AK54" s="508"/>
      <c r="AL54" s="563"/>
      <c r="AM54" s="508"/>
      <c r="AN54" s="508"/>
      <c r="AO54" s="508"/>
      <c r="AP54" s="508"/>
      <c r="AR54" s="508"/>
    </row>
    <row r="55" spans="1:44" ht="12.75" hidden="1">
      <c r="A55" s="511" t="s">
        <v>465</v>
      </c>
      <c r="B55" s="525"/>
      <c r="C55" s="525"/>
      <c r="D55" s="512"/>
      <c r="E55" s="525"/>
      <c r="F55" s="525"/>
      <c r="G55" s="512"/>
      <c r="H55" s="525"/>
      <c r="I55" s="525"/>
      <c r="J55" s="512"/>
      <c r="K55" s="509"/>
      <c r="L55" s="518"/>
      <c r="M55" s="511"/>
      <c r="N55" s="525"/>
      <c r="O55" s="525"/>
      <c r="P55" s="525"/>
      <c r="Q55" s="513"/>
      <c r="R55" s="525"/>
      <c r="S55" s="512"/>
      <c r="T55" s="525"/>
      <c r="U55" s="525"/>
      <c r="V55" s="512"/>
      <c r="W55" s="525"/>
      <c r="X55" s="525"/>
      <c r="Y55" s="540"/>
      <c r="Z55" s="525"/>
      <c r="AA55" s="525"/>
      <c r="AB55" s="512"/>
      <c r="AC55" s="540"/>
      <c r="AD55" s="517"/>
      <c r="AE55" s="518"/>
      <c r="AF55" s="518"/>
      <c r="AG55" s="518"/>
      <c r="AH55" s="518"/>
      <c r="AI55" s="518"/>
      <c r="AJ55" s="621"/>
      <c r="AK55" s="508"/>
      <c r="AL55" s="563"/>
      <c r="AM55" s="508"/>
      <c r="AN55" s="508"/>
      <c r="AO55" s="508"/>
      <c r="AP55" s="508"/>
      <c r="AR55" s="508"/>
    </row>
    <row r="56" spans="1:44" ht="12.75" hidden="1">
      <c r="A56" s="511" t="s">
        <v>466</v>
      </c>
      <c r="B56" s="525"/>
      <c r="C56" s="525"/>
      <c r="D56" s="512"/>
      <c r="E56" s="525"/>
      <c r="F56" s="525"/>
      <c r="G56" s="512"/>
      <c r="H56" s="525"/>
      <c r="I56" s="525"/>
      <c r="J56" s="512"/>
      <c r="K56" s="509"/>
      <c r="L56" s="518"/>
      <c r="M56" s="511"/>
      <c r="N56" s="525"/>
      <c r="O56" s="525"/>
      <c r="P56" s="525"/>
      <c r="Q56" s="513"/>
      <c r="R56" s="525"/>
      <c r="S56" s="512"/>
      <c r="T56" s="525"/>
      <c r="U56" s="525"/>
      <c r="V56" s="512"/>
      <c r="W56" s="525"/>
      <c r="X56" s="525"/>
      <c r="Y56" s="540"/>
      <c r="Z56" s="525"/>
      <c r="AA56" s="525"/>
      <c r="AB56" s="512"/>
      <c r="AC56" s="540"/>
      <c r="AD56" s="517"/>
      <c r="AE56" s="518"/>
      <c r="AF56" s="518"/>
      <c r="AG56" s="518"/>
      <c r="AH56" s="518"/>
      <c r="AI56" s="518"/>
      <c r="AJ56" s="621"/>
      <c r="AK56" s="508"/>
      <c r="AL56" s="563"/>
      <c r="AM56" s="508"/>
      <c r="AN56" s="508"/>
      <c r="AO56" s="508"/>
      <c r="AP56" s="508"/>
      <c r="AR56" s="508"/>
    </row>
    <row r="57" spans="1:44" ht="12.75" hidden="1">
      <c r="A57" s="511" t="s">
        <v>467</v>
      </c>
      <c r="B57" s="525"/>
      <c r="C57" s="525"/>
      <c r="D57" s="512"/>
      <c r="E57" s="525"/>
      <c r="F57" s="525"/>
      <c r="G57" s="512"/>
      <c r="H57" s="525"/>
      <c r="I57" s="525"/>
      <c r="J57" s="512"/>
      <c r="K57" s="509"/>
      <c r="L57" s="518"/>
      <c r="M57" s="511"/>
      <c r="N57" s="525"/>
      <c r="O57" s="525"/>
      <c r="P57" s="525"/>
      <c r="Q57" s="513"/>
      <c r="R57" s="525"/>
      <c r="S57" s="512"/>
      <c r="T57" s="525"/>
      <c r="U57" s="525"/>
      <c r="V57" s="512"/>
      <c r="W57" s="525"/>
      <c r="X57" s="525"/>
      <c r="Y57" s="540"/>
      <c r="Z57" s="525"/>
      <c r="AA57" s="525"/>
      <c r="AB57" s="512"/>
      <c r="AC57" s="540"/>
      <c r="AD57" s="517"/>
      <c r="AE57" s="518"/>
      <c r="AF57" s="518"/>
      <c r="AG57" s="518"/>
      <c r="AH57" s="518"/>
      <c r="AI57" s="518"/>
      <c r="AJ57" s="621"/>
      <c r="AK57" s="508"/>
      <c r="AL57" s="563"/>
      <c r="AM57" s="508"/>
      <c r="AN57" s="508"/>
      <c r="AO57" s="508"/>
      <c r="AP57" s="508"/>
      <c r="AR57" s="508"/>
    </row>
    <row r="58" spans="1:44" ht="12.75" hidden="1">
      <c r="A58" s="511" t="s">
        <v>468</v>
      </c>
      <c r="B58" s="525"/>
      <c r="C58" s="525"/>
      <c r="D58" s="512"/>
      <c r="E58" s="525"/>
      <c r="F58" s="525"/>
      <c r="G58" s="512"/>
      <c r="H58" s="525"/>
      <c r="I58" s="525"/>
      <c r="J58" s="512"/>
      <c r="K58" s="509"/>
      <c r="L58" s="518"/>
      <c r="M58" s="511"/>
      <c r="N58" s="525"/>
      <c r="O58" s="525"/>
      <c r="P58" s="525"/>
      <c r="Q58" s="513"/>
      <c r="R58" s="525"/>
      <c r="S58" s="512"/>
      <c r="T58" s="525"/>
      <c r="U58" s="525"/>
      <c r="V58" s="512"/>
      <c r="W58" s="525"/>
      <c r="X58" s="525"/>
      <c r="Y58" s="540"/>
      <c r="Z58" s="525"/>
      <c r="AA58" s="525"/>
      <c r="AB58" s="512"/>
      <c r="AC58" s="540"/>
      <c r="AD58" s="517"/>
      <c r="AE58" s="518"/>
      <c r="AF58" s="518"/>
      <c r="AG58" s="518"/>
      <c r="AH58" s="518"/>
      <c r="AI58" s="518"/>
      <c r="AJ58" s="621"/>
      <c r="AK58" s="508"/>
      <c r="AL58" s="563"/>
      <c r="AM58" s="508"/>
      <c r="AN58" s="508"/>
      <c r="AO58" s="508"/>
      <c r="AP58" s="508"/>
      <c r="AR58" s="508"/>
    </row>
    <row r="59" spans="1:44" ht="12.75" hidden="1">
      <c r="A59" s="511" t="s">
        <v>469</v>
      </c>
      <c r="B59" s="525"/>
      <c r="C59" s="525"/>
      <c r="D59" s="512"/>
      <c r="E59" s="525"/>
      <c r="F59" s="525"/>
      <c r="G59" s="512"/>
      <c r="H59" s="525"/>
      <c r="I59" s="525"/>
      <c r="J59" s="512"/>
      <c r="K59" s="509"/>
      <c r="L59" s="518"/>
      <c r="M59" s="511"/>
      <c r="N59" s="525"/>
      <c r="O59" s="525"/>
      <c r="P59" s="525"/>
      <c r="Q59" s="513"/>
      <c r="R59" s="525"/>
      <c r="S59" s="512"/>
      <c r="T59" s="525"/>
      <c r="U59" s="525"/>
      <c r="V59" s="512"/>
      <c r="W59" s="525"/>
      <c r="X59" s="525"/>
      <c r="Y59" s="540"/>
      <c r="Z59" s="525"/>
      <c r="AA59" s="525"/>
      <c r="AB59" s="512"/>
      <c r="AC59" s="540"/>
      <c r="AD59" s="517"/>
      <c r="AE59" s="518"/>
      <c r="AF59" s="518"/>
      <c r="AG59" s="518"/>
      <c r="AH59" s="518"/>
      <c r="AI59" s="518"/>
      <c r="AJ59" s="621"/>
      <c r="AK59" s="508"/>
      <c r="AL59" s="563"/>
      <c r="AM59" s="508"/>
      <c r="AN59" s="508"/>
      <c r="AO59" s="508"/>
      <c r="AP59" s="508"/>
      <c r="AR59" s="508"/>
    </row>
    <row r="60" spans="1:44" ht="12.75" hidden="1">
      <c r="A60" s="511" t="s">
        <v>470</v>
      </c>
      <c r="B60" s="525"/>
      <c r="C60" s="525"/>
      <c r="D60" s="512"/>
      <c r="E60" s="525"/>
      <c r="F60" s="525"/>
      <c r="G60" s="512"/>
      <c r="H60" s="525"/>
      <c r="I60" s="525"/>
      <c r="J60" s="512"/>
      <c r="K60" s="509"/>
      <c r="L60" s="518"/>
      <c r="M60" s="511"/>
      <c r="N60" s="525"/>
      <c r="O60" s="525"/>
      <c r="P60" s="525"/>
      <c r="Q60" s="513"/>
      <c r="R60" s="525"/>
      <c r="S60" s="512"/>
      <c r="T60" s="525"/>
      <c r="U60" s="525"/>
      <c r="V60" s="512"/>
      <c r="W60" s="525"/>
      <c r="X60" s="525"/>
      <c r="Y60" s="540"/>
      <c r="Z60" s="525"/>
      <c r="AA60" s="525"/>
      <c r="AB60" s="512"/>
      <c r="AC60" s="540"/>
      <c r="AD60" s="517"/>
      <c r="AE60" s="518"/>
      <c r="AF60" s="518"/>
      <c r="AG60" s="518"/>
      <c r="AH60" s="518"/>
      <c r="AI60" s="518"/>
      <c r="AJ60" s="621"/>
      <c r="AK60" s="508"/>
      <c r="AL60" s="563"/>
      <c r="AM60" s="508"/>
      <c r="AN60" s="508"/>
      <c r="AO60" s="508"/>
      <c r="AP60" s="508"/>
      <c r="AR60" s="508"/>
    </row>
    <row r="61" spans="1:44" ht="12.75" hidden="1">
      <c r="A61" s="511" t="s">
        <v>471</v>
      </c>
      <c r="B61" s="525"/>
      <c r="C61" s="525"/>
      <c r="D61" s="512"/>
      <c r="E61" s="525"/>
      <c r="F61" s="525"/>
      <c r="G61" s="512"/>
      <c r="H61" s="525"/>
      <c r="I61" s="525"/>
      <c r="J61" s="512"/>
      <c r="K61" s="509"/>
      <c r="L61" s="518"/>
      <c r="M61" s="511"/>
      <c r="N61" s="525"/>
      <c r="O61" s="525"/>
      <c r="P61" s="525"/>
      <c r="Q61" s="513"/>
      <c r="R61" s="525"/>
      <c r="S61" s="512"/>
      <c r="T61" s="525"/>
      <c r="U61" s="525"/>
      <c r="V61" s="512"/>
      <c r="W61" s="525"/>
      <c r="X61" s="525"/>
      <c r="Y61" s="540"/>
      <c r="Z61" s="525"/>
      <c r="AA61" s="525"/>
      <c r="AB61" s="512"/>
      <c r="AC61" s="540"/>
      <c r="AD61" s="517"/>
      <c r="AE61" s="518"/>
      <c r="AF61" s="518"/>
      <c r="AG61" s="518"/>
      <c r="AH61" s="518"/>
      <c r="AI61" s="518"/>
      <c r="AJ61" s="621"/>
      <c r="AK61" s="508"/>
      <c r="AL61" s="563"/>
      <c r="AM61" s="508"/>
      <c r="AN61" s="508"/>
      <c r="AO61" s="508"/>
      <c r="AP61" s="508"/>
      <c r="AR61" s="508"/>
    </row>
    <row r="62" spans="1:44" ht="12.75" hidden="1">
      <c r="A62" s="511" t="s">
        <v>472</v>
      </c>
      <c r="B62" s="525"/>
      <c r="C62" s="525"/>
      <c r="D62" s="512"/>
      <c r="E62" s="525"/>
      <c r="F62" s="525"/>
      <c r="G62" s="512"/>
      <c r="H62" s="525"/>
      <c r="I62" s="525"/>
      <c r="J62" s="512"/>
      <c r="K62" s="509"/>
      <c r="L62" s="518"/>
      <c r="M62" s="511"/>
      <c r="N62" s="525"/>
      <c r="O62" s="525"/>
      <c r="P62" s="525"/>
      <c r="Q62" s="513"/>
      <c r="R62" s="525"/>
      <c r="S62" s="512"/>
      <c r="T62" s="525"/>
      <c r="U62" s="525"/>
      <c r="V62" s="512"/>
      <c r="W62" s="525"/>
      <c r="X62" s="525"/>
      <c r="Y62" s="540"/>
      <c r="Z62" s="525"/>
      <c r="AA62" s="525"/>
      <c r="AB62" s="512"/>
      <c r="AC62" s="540"/>
      <c r="AD62" s="517"/>
      <c r="AE62" s="518"/>
      <c r="AF62" s="518"/>
      <c r="AG62" s="518"/>
      <c r="AH62" s="518"/>
      <c r="AI62" s="518"/>
      <c r="AJ62" s="621"/>
      <c r="AK62" s="508"/>
      <c r="AL62" s="563"/>
      <c r="AM62" s="508"/>
      <c r="AN62" s="508"/>
      <c r="AO62" s="508"/>
      <c r="AP62" s="508"/>
      <c r="AR62" s="508"/>
    </row>
    <row r="63" spans="1:44" ht="12.75" hidden="1">
      <c r="A63" s="511" t="s">
        <v>473</v>
      </c>
      <c r="B63" s="525"/>
      <c r="C63" s="525"/>
      <c r="D63" s="512"/>
      <c r="E63" s="525"/>
      <c r="F63" s="525"/>
      <c r="G63" s="512"/>
      <c r="H63" s="525"/>
      <c r="I63" s="525"/>
      <c r="J63" s="512"/>
      <c r="K63" s="509"/>
      <c r="L63" s="518"/>
      <c r="M63" s="511"/>
      <c r="N63" s="525"/>
      <c r="O63" s="525"/>
      <c r="P63" s="525"/>
      <c r="Q63" s="513"/>
      <c r="R63" s="525"/>
      <c r="S63" s="512"/>
      <c r="T63" s="525"/>
      <c r="U63" s="525"/>
      <c r="V63" s="512"/>
      <c r="W63" s="525"/>
      <c r="X63" s="525"/>
      <c r="Y63" s="540"/>
      <c r="Z63" s="525"/>
      <c r="AA63" s="525"/>
      <c r="AB63" s="512"/>
      <c r="AC63" s="540"/>
      <c r="AD63" s="517"/>
      <c r="AE63" s="518"/>
      <c r="AF63" s="518"/>
      <c r="AG63" s="518"/>
      <c r="AH63" s="518"/>
      <c r="AI63" s="518"/>
      <c r="AJ63" s="621"/>
      <c r="AK63" s="508"/>
      <c r="AL63" s="563"/>
      <c r="AM63" s="508"/>
      <c r="AN63" s="508"/>
      <c r="AO63" s="508"/>
      <c r="AP63" s="508"/>
      <c r="AR63" s="508"/>
    </row>
    <row r="64" spans="1:44" ht="12.75" hidden="1">
      <c r="A64" s="511" t="s">
        <v>474</v>
      </c>
      <c r="B64" s="525"/>
      <c r="C64" s="525"/>
      <c r="D64" s="512"/>
      <c r="E64" s="525"/>
      <c r="F64" s="525"/>
      <c r="G64" s="512"/>
      <c r="H64" s="525"/>
      <c r="I64" s="525"/>
      <c r="J64" s="512"/>
      <c r="K64" s="509"/>
      <c r="L64" s="518"/>
      <c r="M64" s="511"/>
      <c r="N64" s="525"/>
      <c r="O64" s="525"/>
      <c r="P64" s="525"/>
      <c r="Q64" s="513"/>
      <c r="R64" s="525"/>
      <c r="S64" s="512"/>
      <c r="T64" s="525"/>
      <c r="U64" s="525"/>
      <c r="V64" s="512"/>
      <c r="W64" s="525"/>
      <c r="X64" s="525"/>
      <c r="Y64" s="540"/>
      <c r="Z64" s="525"/>
      <c r="AA64" s="525"/>
      <c r="AB64" s="512"/>
      <c r="AC64" s="540"/>
      <c r="AD64" s="517"/>
      <c r="AE64" s="518"/>
      <c r="AF64" s="518"/>
      <c r="AG64" s="518"/>
      <c r="AH64" s="518"/>
      <c r="AI64" s="518"/>
      <c r="AJ64" s="621"/>
      <c r="AK64" s="508"/>
      <c r="AL64" s="563"/>
      <c r="AM64" s="508"/>
      <c r="AN64" s="508"/>
      <c r="AO64" s="508"/>
      <c r="AP64" s="508"/>
      <c r="AR64" s="508"/>
    </row>
    <row r="65" spans="1:44" ht="12.75" hidden="1">
      <c r="A65" s="511" t="s">
        <v>475</v>
      </c>
      <c r="B65" s="525"/>
      <c r="C65" s="525"/>
      <c r="D65" s="512"/>
      <c r="E65" s="525"/>
      <c r="F65" s="525"/>
      <c r="G65" s="512"/>
      <c r="H65" s="525"/>
      <c r="I65" s="525"/>
      <c r="J65" s="512"/>
      <c r="K65" s="509"/>
      <c r="L65" s="518"/>
      <c r="M65" s="511"/>
      <c r="N65" s="525"/>
      <c r="O65" s="525"/>
      <c r="P65" s="525"/>
      <c r="Q65" s="513"/>
      <c r="R65" s="525"/>
      <c r="S65" s="512"/>
      <c r="T65" s="525"/>
      <c r="U65" s="525"/>
      <c r="V65" s="512"/>
      <c r="W65" s="525"/>
      <c r="X65" s="525"/>
      <c r="Y65" s="540"/>
      <c r="Z65" s="525"/>
      <c r="AA65" s="525"/>
      <c r="AB65" s="512"/>
      <c r="AC65" s="540"/>
      <c r="AD65" s="517"/>
      <c r="AE65" s="518"/>
      <c r="AF65" s="518"/>
      <c r="AG65" s="518"/>
      <c r="AH65" s="518"/>
      <c r="AI65" s="518"/>
      <c r="AJ65" s="621"/>
      <c r="AK65" s="508"/>
      <c r="AL65" s="563"/>
      <c r="AM65" s="508"/>
      <c r="AN65" s="508"/>
      <c r="AO65" s="508"/>
      <c r="AP65" s="508"/>
      <c r="AR65" s="508"/>
    </row>
    <row r="66" spans="1:44" ht="12.75" hidden="1">
      <c r="A66" s="511" t="s">
        <v>476</v>
      </c>
      <c r="B66" s="525"/>
      <c r="C66" s="525"/>
      <c r="D66" s="512"/>
      <c r="E66" s="525"/>
      <c r="F66" s="525"/>
      <c r="G66" s="512"/>
      <c r="H66" s="525"/>
      <c r="I66" s="525"/>
      <c r="J66" s="512"/>
      <c r="K66" s="509"/>
      <c r="L66" s="518"/>
      <c r="M66" s="511"/>
      <c r="N66" s="525"/>
      <c r="O66" s="525"/>
      <c r="P66" s="525"/>
      <c r="Q66" s="513"/>
      <c r="R66" s="525"/>
      <c r="S66" s="512"/>
      <c r="T66" s="525"/>
      <c r="U66" s="525"/>
      <c r="V66" s="512"/>
      <c r="W66" s="525"/>
      <c r="X66" s="525"/>
      <c r="Y66" s="540"/>
      <c r="Z66" s="525"/>
      <c r="AA66" s="525"/>
      <c r="AB66" s="512"/>
      <c r="AC66" s="540"/>
      <c r="AD66" s="517"/>
      <c r="AE66" s="518"/>
      <c r="AF66" s="518"/>
      <c r="AG66" s="518"/>
      <c r="AH66" s="518"/>
      <c r="AI66" s="518"/>
      <c r="AJ66" s="621"/>
      <c r="AK66" s="508"/>
      <c r="AL66" s="563"/>
      <c r="AM66" s="508"/>
      <c r="AN66" s="508"/>
      <c r="AO66" s="508"/>
      <c r="AP66" s="508"/>
      <c r="AR66" s="508"/>
    </row>
    <row r="67" spans="1:44" ht="12.75" hidden="1">
      <c r="A67" s="511" t="s">
        <v>477</v>
      </c>
      <c r="B67" s="525"/>
      <c r="C67" s="525"/>
      <c r="D67" s="512"/>
      <c r="E67" s="525"/>
      <c r="F67" s="525"/>
      <c r="G67" s="512"/>
      <c r="H67" s="525"/>
      <c r="I67" s="525"/>
      <c r="J67" s="512"/>
      <c r="K67" s="509"/>
      <c r="L67" s="518"/>
      <c r="M67" s="511"/>
      <c r="N67" s="525"/>
      <c r="O67" s="525"/>
      <c r="P67" s="525"/>
      <c r="Q67" s="513"/>
      <c r="R67" s="525"/>
      <c r="S67" s="512"/>
      <c r="T67" s="525"/>
      <c r="U67" s="525"/>
      <c r="V67" s="512"/>
      <c r="W67" s="525"/>
      <c r="X67" s="525"/>
      <c r="Y67" s="540"/>
      <c r="Z67" s="525"/>
      <c r="AA67" s="525"/>
      <c r="AB67" s="512"/>
      <c r="AC67" s="540"/>
      <c r="AD67" s="517"/>
      <c r="AE67" s="518"/>
      <c r="AF67" s="518"/>
      <c r="AG67" s="518"/>
      <c r="AH67" s="518"/>
      <c r="AI67" s="518"/>
      <c r="AJ67" s="621"/>
      <c r="AK67" s="508"/>
      <c r="AL67" s="563"/>
      <c r="AM67" s="508"/>
      <c r="AN67" s="508"/>
      <c r="AO67" s="508"/>
      <c r="AP67" s="508"/>
      <c r="AR67" s="508"/>
    </row>
    <row r="68" spans="1:44" ht="12.75" hidden="1">
      <c r="A68" s="511" t="s">
        <v>478</v>
      </c>
      <c r="B68" s="525"/>
      <c r="C68" s="525"/>
      <c r="D68" s="512"/>
      <c r="E68" s="525"/>
      <c r="F68" s="525"/>
      <c r="G68" s="512"/>
      <c r="H68" s="525"/>
      <c r="I68" s="525"/>
      <c r="J68" s="512"/>
      <c r="K68" s="509"/>
      <c r="L68" s="518"/>
      <c r="M68" s="511"/>
      <c r="N68" s="525"/>
      <c r="O68" s="525"/>
      <c r="P68" s="525"/>
      <c r="Q68" s="513"/>
      <c r="R68" s="525"/>
      <c r="S68" s="512"/>
      <c r="T68" s="525"/>
      <c r="U68" s="525"/>
      <c r="V68" s="512"/>
      <c r="W68" s="525"/>
      <c r="X68" s="525"/>
      <c r="Y68" s="540"/>
      <c r="Z68" s="525"/>
      <c r="AA68" s="525"/>
      <c r="AB68" s="512"/>
      <c r="AC68" s="540"/>
      <c r="AD68" s="517"/>
      <c r="AE68" s="518"/>
      <c r="AF68" s="518"/>
      <c r="AG68" s="518"/>
      <c r="AH68" s="518"/>
      <c r="AI68" s="518"/>
      <c r="AJ68" s="621"/>
      <c r="AK68" s="508"/>
      <c r="AL68" s="563"/>
      <c r="AM68" s="508"/>
      <c r="AN68" s="508"/>
      <c r="AO68" s="508"/>
      <c r="AP68" s="508"/>
      <c r="AR68" s="508"/>
    </row>
    <row r="69" spans="1:44" ht="12.75" hidden="1">
      <c r="A69" s="511" t="s">
        <v>479</v>
      </c>
      <c r="B69" s="525"/>
      <c r="C69" s="525"/>
      <c r="D69" s="512"/>
      <c r="E69" s="525"/>
      <c r="F69" s="525"/>
      <c r="G69" s="512"/>
      <c r="H69" s="525"/>
      <c r="I69" s="525"/>
      <c r="J69" s="512"/>
      <c r="K69" s="509"/>
      <c r="L69" s="518"/>
      <c r="M69" s="511"/>
      <c r="N69" s="525"/>
      <c r="O69" s="525"/>
      <c r="P69" s="525"/>
      <c r="Q69" s="513"/>
      <c r="R69" s="525"/>
      <c r="S69" s="512"/>
      <c r="T69" s="525"/>
      <c r="U69" s="525"/>
      <c r="V69" s="512"/>
      <c r="W69" s="525"/>
      <c r="X69" s="525"/>
      <c r="Y69" s="540"/>
      <c r="Z69" s="525"/>
      <c r="AA69" s="525"/>
      <c r="AB69" s="512"/>
      <c r="AC69" s="540"/>
      <c r="AD69" s="517"/>
      <c r="AE69" s="518"/>
      <c r="AF69" s="518"/>
      <c r="AG69" s="518"/>
      <c r="AH69" s="518"/>
      <c r="AI69" s="518"/>
      <c r="AJ69" s="621"/>
      <c r="AK69" s="508"/>
      <c r="AL69" s="563"/>
      <c r="AM69" s="508"/>
      <c r="AN69" s="508"/>
      <c r="AO69" s="508"/>
      <c r="AP69" s="508"/>
      <c r="AR69" s="508"/>
    </row>
    <row r="70" spans="1:44" ht="12.75" hidden="1">
      <c r="A70" s="511" t="s">
        <v>480</v>
      </c>
      <c r="B70" s="525"/>
      <c r="C70" s="525"/>
      <c r="D70" s="512"/>
      <c r="E70" s="525"/>
      <c r="F70" s="525"/>
      <c r="G70" s="512"/>
      <c r="H70" s="525"/>
      <c r="I70" s="525"/>
      <c r="J70" s="512"/>
      <c r="K70" s="509"/>
      <c r="L70" s="518"/>
      <c r="M70" s="511"/>
      <c r="N70" s="525"/>
      <c r="O70" s="525"/>
      <c r="P70" s="525"/>
      <c r="Q70" s="513"/>
      <c r="R70" s="525"/>
      <c r="S70" s="512"/>
      <c r="T70" s="525"/>
      <c r="U70" s="525"/>
      <c r="V70" s="512"/>
      <c r="W70" s="525"/>
      <c r="X70" s="525"/>
      <c r="Y70" s="540"/>
      <c r="Z70" s="525"/>
      <c r="AA70" s="525"/>
      <c r="AB70" s="512"/>
      <c r="AC70" s="540"/>
      <c r="AD70" s="517"/>
      <c r="AE70" s="518"/>
      <c r="AF70" s="518"/>
      <c r="AG70" s="518"/>
      <c r="AH70" s="518"/>
      <c r="AI70" s="518"/>
      <c r="AJ70" s="621"/>
      <c r="AK70" s="508"/>
      <c r="AL70" s="563"/>
      <c r="AM70" s="508"/>
      <c r="AN70" s="508"/>
      <c r="AO70" s="508"/>
      <c r="AP70" s="508"/>
      <c r="AR70" s="508"/>
    </row>
    <row r="71" spans="1:44" ht="12.75" hidden="1">
      <c r="A71" s="511" t="s">
        <v>481</v>
      </c>
      <c r="B71" s="525"/>
      <c r="C71" s="525"/>
      <c r="D71" s="512"/>
      <c r="E71" s="525"/>
      <c r="F71" s="525"/>
      <c r="G71" s="512"/>
      <c r="H71" s="525"/>
      <c r="I71" s="525"/>
      <c r="J71" s="512"/>
      <c r="K71" s="509"/>
      <c r="L71" s="518"/>
      <c r="M71" s="511"/>
      <c r="N71" s="525"/>
      <c r="O71" s="525"/>
      <c r="P71" s="525"/>
      <c r="Q71" s="513"/>
      <c r="R71" s="525"/>
      <c r="S71" s="512"/>
      <c r="T71" s="525"/>
      <c r="U71" s="525"/>
      <c r="V71" s="512"/>
      <c r="W71" s="525"/>
      <c r="X71" s="525"/>
      <c r="Y71" s="540"/>
      <c r="Z71" s="525"/>
      <c r="AA71" s="525"/>
      <c r="AB71" s="512"/>
      <c r="AC71" s="540"/>
      <c r="AD71" s="517"/>
      <c r="AE71" s="518"/>
      <c r="AF71" s="518"/>
      <c r="AG71" s="518"/>
      <c r="AH71" s="518"/>
      <c r="AI71" s="518"/>
      <c r="AJ71" s="621"/>
      <c r="AK71" s="508"/>
      <c r="AL71" s="563"/>
      <c r="AM71" s="508"/>
      <c r="AN71" s="508"/>
      <c r="AO71" s="508"/>
      <c r="AP71" s="508"/>
      <c r="AR71" s="508"/>
    </row>
    <row r="72" spans="1:44" ht="12.75" hidden="1">
      <c r="A72" s="511" t="s">
        <v>482</v>
      </c>
      <c r="B72" s="525"/>
      <c r="C72" s="525"/>
      <c r="D72" s="512"/>
      <c r="E72" s="525"/>
      <c r="F72" s="525"/>
      <c r="G72" s="512"/>
      <c r="H72" s="525"/>
      <c r="I72" s="525"/>
      <c r="J72" s="512"/>
      <c r="K72" s="509"/>
      <c r="L72" s="518"/>
      <c r="M72" s="511"/>
      <c r="N72" s="525"/>
      <c r="O72" s="525"/>
      <c r="P72" s="525"/>
      <c r="Q72" s="513"/>
      <c r="R72" s="525"/>
      <c r="S72" s="512"/>
      <c r="T72" s="525"/>
      <c r="U72" s="525"/>
      <c r="V72" s="512"/>
      <c r="W72" s="525"/>
      <c r="X72" s="525"/>
      <c r="Y72" s="540"/>
      <c r="Z72" s="525"/>
      <c r="AA72" s="525"/>
      <c r="AB72" s="512"/>
      <c r="AC72" s="540"/>
      <c r="AD72" s="517"/>
      <c r="AE72" s="518"/>
      <c r="AF72" s="518"/>
      <c r="AG72" s="518"/>
      <c r="AH72" s="518"/>
      <c r="AI72" s="518"/>
      <c r="AJ72" s="621"/>
      <c r="AK72" s="508"/>
      <c r="AL72" s="563"/>
      <c r="AM72" s="508"/>
      <c r="AN72" s="508"/>
      <c r="AO72" s="508"/>
      <c r="AP72" s="508"/>
      <c r="AR72" s="508"/>
    </row>
    <row r="73" spans="1:44" ht="12.75" hidden="1">
      <c r="A73" s="511" t="s">
        <v>483</v>
      </c>
      <c r="B73" s="525"/>
      <c r="C73" s="525"/>
      <c r="D73" s="512"/>
      <c r="E73" s="525"/>
      <c r="F73" s="525"/>
      <c r="G73" s="512"/>
      <c r="H73" s="525"/>
      <c r="I73" s="525"/>
      <c r="J73" s="512"/>
      <c r="K73" s="509"/>
      <c r="L73" s="518"/>
      <c r="M73" s="511"/>
      <c r="N73" s="525"/>
      <c r="O73" s="525"/>
      <c r="P73" s="525"/>
      <c r="Q73" s="513"/>
      <c r="R73" s="525"/>
      <c r="S73" s="512"/>
      <c r="T73" s="525"/>
      <c r="U73" s="525"/>
      <c r="V73" s="512"/>
      <c r="W73" s="525"/>
      <c r="X73" s="525"/>
      <c r="Y73" s="540"/>
      <c r="Z73" s="525"/>
      <c r="AA73" s="525"/>
      <c r="AB73" s="512"/>
      <c r="AC73" s="540"/>
      <c r="AD73" s="517"/>
      <c r="AE73" s="518"/>
      <c r="AF73" s="518"/>
      <c r="AG73" s="518"/>
      <c r="AH73" s="518"/>
      <c r="AI73" s="518"/>
      <c r="AJ73" s="621"/>
      <c r="AK73" s="508"/>
      <c r="AL73" s="563"/>
      <c r="AM73" s="508"/>
      <c r="AN73" s="508"/>
      <c r="AO73" s="508"/>
      <c r="AP73" s="508"/>
      <c r="AR73" s="508"/>
    </row>
    <row r="74" spans="1:44" ht="12.75" hidden="1">
      <c r="A74" s="511" t="s">
        <v>484</v>
      </c>
      <c r="B74" s="525"/>
      <c r="C74" s="525"/>
      <c r="D74" s="512"/>
      <c r="E74" s="525"/>
      <c r="F74" s="525"/>
      <c r="G74" s="512"/>
      <c r="H74" s="525"/>
      <c r="I74" s="525"/>
      <c r="J74" s="512"/>
      <c r="K74" s="509"/>
      <c r="L74" s="518"/>
      <c r="M74" s="511"/>
      <c r="N74" s="525"/>
      <c r="O74" s="525"/>
      <c r="P74" s="525"/>
      <c r="Q74" s="513"/>
      <c r="R74" s="525"/>
      <c r="S74" s="512"/>
      <c r="T74" s="525"/>
      <c r="U74" s="525"/>
      <c r="V74" s="512"/>
      <c r="W74" s="525"/>
      <c r="X74" s="525"/>
      <c r="Y74" s="540"/>
      <c r="Z74" s="525"/>
      <c r="AA74" s="525"/>
      <c r="AB74" s="512"/>
      <c r="AC74" s="540"/>
      <c r="AD74" s="517"/>
      <c r="AE74" s="518"/>
      <c r="AF74" s="518"/>
      <c r="AG74" s="518"/>
      <c r="AH74" s="518"/>
      <c r="AI74" s="518"/>
      <c r="AJ74" s="621"/>
      <c r="AK74" s="508"/>
      <c r="AL74" s="563"/>
      <c r="AM74" s="508"/>
      <c r="AN74" s="508"/>
      <c r="AO74" s="508"/>
      <c r="AP74" s="508"/>
      <c r="AR74" s="508"/>
    </row>
    <row r="75" spans="1:44" s="536" customFormat="1" ht="12.75" hidden="1">
      <c r="A75" s="515" t="s">
        <v>280</v>
      </c>
      <c r="B75" s="526"/>
      <c r="C75" s="526"/>
      <c r="D75" s="516"/>
      <c r="E75" s="526"/>
      <c r="F75" s="526"/>
      <c r="G75" s="516"/>
      <c r="H75" s="526"/>
      <c r="I75" s="526"/>
      <c r="J75" s="516"/>
      <c r="K75" s="527"/>
      <c r="L75" s="527"/>
      <c r="M75" s="519"/>
      <c r="N75" s="519"/>
      <c r="O75" s="519"/>
      <c r="P75" s="514"/>
      <c r="Q75" s="596"/>
      <c r="R75" s="515"/>
      <c r="S75" s="516"/>
      <c r="T75" s="526"/>
      <c r="U75" s="526"/>
      <c r="V75" s="516"/>
      <c r="W75" s="526"/>
      <c r="X75" s="526"/>
      <c r="Y75" s="530"/>
      <c r="Z75" s="526"/>
      <c r="AA75" s="526"/>
      <c r="AB75" s="516"/>
      <c r="AC75" s="530"/>
      <c r="AD75" s="516"/>
      <c r="AE75" s="527"/>
      <c r="AF75" s="527"/>
      <c r="AG75" s="527"/>
      <c r="AH75" s="527"/>
      <c r="AI75" s="527"/>
      <c r="AJ75" s="620"/>
      <c r="AK75" s="561"/>
      <c r="AL75" s="561"/>
      <c r="AM75" s="561"/>
      <c r="AN75" s="561"/>
      <c r="AO75" s="561"/>
      <c r="AP75" s="561"/>
      <c r="AR75" s="561"/>
    </row>
    <row r="76" spans="1:44" ht="12.75" hidden="1">
      <c r="A76" s="511" t="s">
        <v>485</v>
      </c>
      <c r="B76" s="525"/>
      <c r="C76" s="525"/>
      <c r="D76" s="512"/>
      <c r="E76" s="525"/>
      <c r="F76" s="525"/>
      <c r="G76" s="512"/>
      <c r="H76" s="525"/>
      <c r="I76" s="525"/>
      <c r="J76" s="512"/>
      <c r="K76" s="509"/>
      <c r="L76" s="518"/>
      <c r="M76" s="520"/>
      <c r="N76" s="521"/>
      <c r="O76" s="521"/>
      <c r="P76" s="521"/>
      <c r="Q76" s="513"/>
      <c r="R76" s="521"/>
      <c r="S76" s="512"/>
      <c r="T76" s="525"/>
      <c r="U76" s="525"/>
      <c r="V76" s="512"/>
      <c r="W76" s="525"/>
      <c r="X76" s="525"/>
      <c r="Y76" s="540"/>
      <c r="Z76" s="525"/>
      <c r="AA76" s="525"/>
      <c r="AB76" s="512"/>
      <c r="AC76" s="540"/>
      <c r="AD76" s="517"/>
      <c r="AE76" s="518"/>
      <c r="AF76" s="518"/>
      <c r="AG76" s="518"/>
      <c r="AH76" s="518"/>
      <c r="AI76" s="518"/>
      <c r="AJ76" s="621"/>
      <c r="AK76" s="508"/>
      <c r="AL76" s="563"/>
      <c r="AM76" s="508"/>
      <c r="AN76" s="508"/>
      <c r="AO76" s="508"/>
      <c r="AP76" s="508"/>
      <c r="AR76" s="508"/>
    </row>
    <row r="77" spans="1:44" ht="12.75" hidden="1">
      <c r="A77" s="511" t="s">
        <v>281</v>
      </c>
      <c r="B77" s="525"/>
      <c r="C77" s="525"/>
      <c r="D77" s="512"/>
      <c r="E77" s="525"/>
      <c r="F77" s="525"/>
      <c r="G77" s="512"/>
      <c r="H77" s="525"/>
      <c r="I77" s="525"/>
      <c r="J77" s="512"/>
      <c r="K77" s="509"/>
      <c r="L77" s="518"/>
      <c r="M77" s="520"/>
      <c r="N77" s="521"/>
      <c r="O77" s="521"/>
      <c r="P77" s="521"/>
      <c r="Q77" s="513"/>
      <c r="R77" s="521"/>
      <c r="S77" s="512"/>
      <c r="T77" s="525"/>
      <c r="U77" s="525"/>
      <c r="V77" s="512"/>
      <c r="W77" s="525"/>
      <c r="X77" s="525"/>
      <c r="Y77" s="540"/>
      <c r="Z77" s="525"/>
      <c r="AA77" s="525"/>
      <c r="AB77" s="512"/>
      <c r="AC77" s="540"/>
      <c r="AD77" s="517"/>
      <c r="AE77" s="518"/>
      <c r="AF77" s="518"/>
      <c r="AG77" s="518"/>
      <c r="AH77" s="518"/>
      <c r="AI77" s="518"/>
      <c r="AJ77" s="621"/>
      <c r="AK77" s="508"/>
      <c r="AL77" s="563"/>
      <c r="AM77" s="508"/>
      <c r="AN77" s="508"/>
      <c r="AO77" s="508"/>
      <c r="AP77" s="508"/>
      <c r="AR77" s="508"/>
    </row>
    <row r="78" spans="1:44" ht="12.75" hidden="1">
      <c r="A78" s="511" t="s">
        <v>486</v>
      </c>
      <c r="B78" s="525"/>
      <c r="C78" s="525"/>
      <c r="D78" s="512"/>
      <c r="E78" s="525"/>
      <c r="F78" s="525"/>
      <c r="G78" s="512"/>
      <c r="H78" s="525"/>
      <c r="I78" s="525"/>
      <c r="J78" s="512"/>
      <c r="K78" s="509"/>
      <c r="L78" s="518"/>
      <c r="M78" s="520"/>
      <c r="N78" s="521"/>
      <c r="O78" s="521"/>
      <c r="P78" s="521"/>
      <c r="Q78" s="513"/>
      <c r="R78" s="521"/>
      <c r="S78" s="512"/>
      <c r="T78" s="525"/>
      <c r="U78" s="525"/>
      <c r="V78" s="512"/>
      <c r="W78" s="525"/>
      <c r="X78" s="525"/>
      <c r="Y78" s="540"/>
      <c r="Z78" s="525"/>
      <c r="AA78" s="525"/>
      <c r="AB78" s="512"/>
      <c r="AC78" s="540"/>
      <c r="AD78" s="517"/>
      <c r="AE78" s="518"/>
      <c r="AF78" s="518"/>
      <c r="AG78" s="518"/>
      <c r="AH78" s="518"/>
      <c r="AI78" s="518"/>
      <c r="AJ78" s="621"/>
      <c r="AK78" s="508"/>
      <c r="AL78" s="563"/>
      <c r="AM78" s="508"/>
      <c r="AN78" s="508"/>
      <c r="AO78" s="508"/>
      <c r="AP78" s="508"/>
      <c r="AR78" s="508"/>
    </row>
    <row r="79" spans="1:44" ht="12.75" hidden="1">
      <c r="A79" s="511" t="s">
        <v>282</v>
      </c>
      <c r="B79" s="525"/>
      <c r="C79" s="525"/>
      <c r="D79" s="512"/>
      <c r="E79" s="525"/>
      <c r="F79" s="525"/>
      <c r="G79" s="512"/>
      <c r="H79" s="525"/>
      <c r="I79" s="525"/>
      <c r="J79" s="512"/>
      <c r="K79" s="509"/>
      <c r="L79" s="518"/>
      <c r="M79" s="520"/>
      <c r="N79" s="521"/>
      <c r="O79" s="521"/>
      <c r="P79" s="521"/>
      <c r="Q79" s="513"/>
      <c r="R79" s="521"/>
      <c r="S79" s="512"/>
      <c r="T79" s="525"/>
      <c r="U79" s="525"/>
      <c r="V79" s="512"/>
      <c r="W79" s="525"/>
      <c r="X79" s="525"/>
      <c r="Y79" s="540"/>
      <c r="Z79" s="525"/>
      <c r="AA79" s="525"/>
      <c r="AB79" s="512"/>
      <c r="AC79" s="540"/>
      <c r="AD79" s="517"/>
      <c r="AE79" s="518"/>
      <c r="AF79" s="518"/>
      <c r="AG79" s="518"/>
      <c r="AH79" s="518"/>
      <c r="AI79" s="518"/>
      <c r="AJ79" s="621"/>
      <c r="AK79" s="508"/>
      <c r="AL79" s="563"/>
      <c r="AM79" s="508"/>
      <c r="AN79" s="508"/>
      <c r="AO79" s="508"/>
      <c r="AP79" s="508"/>
      <c r="AR79" s="508"/>
    </row>
    <row r="80" spans="1:44" ht="12.75" hidden="1">
      <c r="A80" s="511" t="s">
        <v>487</v>
      </c>
      <c r="B80" s="525"/>
      <c r="C80" s="525"/>
      <c r="D80" s="512"/>
      <c r="E80" s="525"/>
      <c r="F80" s="525"/>
      <c r="G80" s="512"/>
      <c r="H80" s="525"/>
      <c r="I80" s="525"/>
      <c r="J80" s="512"/>
      <c r="K80" s="509"/>
      <c r="L80" s="518"/>
      <c r="M80" s="520"/>
      <c r="N80" s="521"/>
      <c r="O80" s="521"/>
      <c r="P80" s="521"/>
      <c r="Q80" s="513"/>
      <c r="R80" s="521"/>
      <c r="S80" s="512"/>
      <c r="T80" s="525"/>
      <c r="U80" s="525"/>
      <c r="V80" s="512"/>
      <c r="W80" s="525"/>
      <c r="X80" s="525"/>
      <c r="Y80" s="540"/>
      <c r="Z80" s="525"/>
      <c r="AA80" s="525"/>
      <c r="AB80" s="512"/>
      <c r="AC80" s="540"/>
      <c r="AD80" s="517"/>
      <c r="AE80" s="518"/>
      <c r="AF80" s="518"/>
      <c r="AG80" s="518"/>
      <c r="AH80" s="518"/>
      <c r="AI80" s="518"/>
      <c r="AJ80" s="621"/>
      <c r="AK80" s="508"/>
      <c r="AL80" s="563"/>
      <c r="AM80" s="508"/>
      <c r="AN80" s="508"/>
      <c r="AO80" s="508"/>
      <c r="AP80" s="508"/>
      <c r="AR80" s="508"/>
    </row>
    <row r="81" spans="1:44" ht="12.75" hidden="1">
      <c r="A81" s="511" t="s">
        <v>283</v>
      </c>
      <c r="B81" s="525"/>
      <c r="C81" s="525"/>
      <c r="D81" s="512"/>
      <c r="E81" s="525"/>
      <c r="F81" s="525"/>
      <c r="G81" s="512"/>
      <c r="H81" s="525"/>
      <c r="I81" s="525"/>
      <c r="J81" s="512"/>
      <c r="K81" s="509"/>
      <c r="L81" s="518"/>
      <c r="M81" s="520"/>
      <c r="N81" s="521"/>
      <c r="O81" s="521"/>
      <c r="P81" s="521"/>
      <c r="Q81" s="513"/>
      <c r="R81" s="521"/>
      <c r="S81" s="512"/>
      <c r="T81" s="525"/>
      <c r="U81" s="525"/>
      <c r="V81" s="512"/>
      <c r="W81" s="525"/>
      <c r="X81" s="525"/>
      <c r="Y81" s="540"/>
      <c r="Z81" s="525"/>
      <c r="AA81" s="525"/>
      <c r="AB81" s="512"/>
      <c r="AC81" s="540"/>
      <c r="AD81" s="517"/>
      <c r="AE81" s="518"/>
      <c r="AF81" s="518"/>
      <c r="AG81" s="518"/>
      <c r="AH81" s="518"/>
      <c r="AI81" s="518"/>
      <c r="AJ81" s="621"/>
      <c r="AK81" s="508"/>
      <c r="AL81" s="563"/>
      <c r="AM81" s="508"/>
      <c r="AN81" s="508"/>
      <c r="AO81" s="508"/>
      <c r="AP81" s="508"/>
      <c r="AR81" s="508"/>
    </row>
    <row r="82" spans="1:44" ht="12.75" hidden="1">
      <c r="A82" s="511" t="s">
        <v>488</v>
      </c>
      <c r="B82" s="525"/>
      <c r="C82" s="525"/>
      <c r="D82" s="512"/>
      <c r="E82" s="525"/>
      <c r="F82" s="525"/>
      <c r="G82" s="512"/>
      <c r="H82" s="525"/>
      <c r="I82" s="525"/>
      <c r="J82" s="512"/>
      <c r="K82" s="509"/>
      <c r="L82" s="518"/>
      <c r="M82" s="520"/>
      <c r="N82" s="521"/>
      <c r="O82" s="521"/>
      <c r="P82" s="521"/>
      <c r="Q82" s="513"/>
      <c r="R82" s="521"/>
      <c r="S82" s="512"/>
      <c r="T82" s="525"/>
      <c r="U82" s="525"/>
      <c r="V82" s="512"/>
      <c r="W82" s="525"/>
      <c r="X82" s="525"/>
      <c r="Y82" s="540"/>
      <c r="Z82" s="525"/>
      <c r="AA82" s="525"/>
      <c r="AB82" s="512"/>
      <c r="AC82" s="540"/>
      <c r="AD82" s="517"/>
      <c r="AE82" s="518"/>
      <c r="AF82" s="518"/>
      <c r="AG82" s="518"/>
      <c r="AH82" s="518"/>
      <c r="AI82" s="518"/>
      <c r="AJ82" s="621"/>
      <c r="AK82" s="508"/>
      <c r="AL82" s="563"/>
      <c r="AM82" s="508"/>
      <c r="AN82" s="508"/>
      <c r="AO82" s="508"/>
      <c r="AP82" s="508"/>
      <c r="AR82" s="508"/>
    </row>
    <row r="83" spans="1:44" ht="12.75" hidden="1">
      <c r="A83" s="511" t="s">
        <v>284</v>
      </c>
      <c r="B83" s="525"/>
      <c r="C83" s="525"/>
      <c r="D83" s="512"/>
      <c r="E83" s="525"/>
      <c r="F83" s="525"/>
      <c r="G83" s="512"/>
      <c r="H83" s="525"/>
      <c r="I83" s="525"/>
      <c r="J83" s="512"/>
      <c r="K83" s="509"/>
      <c r="L83" s="518"/>
      <c r="M83" s="520"/>
      <c r="N83" s="521"/>
      <c r="O83" s="521"/>
      <c r="P83" s="521"/>
      <c r="Q83" s="513"/>
      <c r="R83" s="521"/>
      <c r="S83" s="512"/>
      <c r="T83" s="525"/>
      <c r="U83" s="525"/>
      <c r="V83" s="512"/>
      <c r="W83" s="525"/>
      <c r="X83" s="525"/>
      <c r="Y83" s="540"/>
      <c r="Z83" s="525"/>
      <c r="AA83" s="525"/>
      <c r="AB83" s="512"/>
      <c r="AC83" s="540"/>
      <c r="AD83" s="517"/>
      <c r="AE83" s="518"/>
      <c r="AF83" s="518"/>
      <c r="AG83" s="518"/>
      <c r="AH83" s="518"/>
      <c r="AI83" s="518"/>
      <c r="AJ83" s="621"/>
      <c r="AK83" s="508"/>
      <c r="AL83" s="563"/>
      <c r="AM83" s="508"/>
      <c r="AN83" s="508"/>
      <c r="AO83" s="508"/>
      <c r="AP83" s="508"/>
      <c r="AR83" s="508"/>
    </row>
    <row r="84" spans="1:44" ht="12.75" hidden="1">
      <c r="A84" s="511" t="s">
        <v>489</v>
      </c>
      <c r="B84" s="525"/>
      <c r="C84" s="525"/>
      <c r="D84" s="512"/>
      <c r="E84" s="525"/>
      <c r="F84" s="525"/>
      <c r="G84" s="512"/>
      <c r="H84" s="525"/>
      <c r="I84" s="525"/>
      <c r="J84" s="512"/>
      <c r="K84" s="509"/>
      <c r="L84" s="518"/>
      <c r="M84" s="520"/>
      <c r="N84" s="521"/>
      <c r="O84" s="521"/>
      <c r="P84" s="521"/>
      <c r="Q84" s="513"/>
      <c r="R84" s="521"/>
      <c r="S84" s="512"/>
      <c r="T84" s="525"/>
      <c r="U84" s="525"/>
      <c r="V84" s="512"/>
      <c r="W84" s="525"/>
      <c r="X84" s="525"/>
      <c r="Y84" s="540"/>
      <c r="Z84" s="525"/>
      <c r="AA84" s="525"/>
      <c r="AB84" s="512"/>
      <c r="AC84" s="540"/>
      <c r="AD84" s="517"/>
      <c r="AE84" s="518"/>
      <c r="AF84" s="518"/>
      <c r="AG84" s="518"/>
      <c r="AH84" s="518"/>
      <c r="AI84" s="518"/>
      <c r="AJ84" s="621"/>
      <c r="AK84" s="508"/>
      <c r="AL84" s="563"/>
      <c r="AM84" s="508"/>
      <c r="AN84" s="508"/>
      <c r="AO84" s="508"/>
      <c r="AP84" s="508"/>
      <c r="AR84" s="508"/>
    </row>
    <row r="85" spans="1:44" ht="12.75" hidden="1">
      <c r="A85" s="511" t="s">
        <v>285</v>
      </c>
      <c r="B85" s="525"/>
      <c r="C85" s="525"/>
      <c r="D85" s="512"/>
      <c r="E85" s="525"/>
      <c r="F85" s="525"/>
      <c r="G85" s="512"/>
      <c r="H85" s="525"/>
      <c r="I85" s="525"/>
      <c r="J85" s="512"/>
      <c r="K85" s="509"/>
      <c r="L85" s="518"/>
      <c r="M85" s="511"/>
      <c r="N85" s="521"/>
      <c r="O85" s="521"/>
      <c r="P85" s="521"/>
      <c r="Q85" s="513"/>
      <c r="R85" s="521"/>
      <c r="S85" s="512"/>
      <c r="T85" s="525"/>
      <c r="U85" s="525"/>
      <c r="V85" s="512"/>
      <c r="W85" s="525"/>
      <c r="X85" s="525"/>
      <c r="Y85" s="540"/>
      <c r="Z85" s="525"/>
      <c r="AA85" s="525"/>
      <c r="AB85" s="512"/>
      <c r="AC85" s="540"/>
      <c r="AD85" s="517"/>
      <c r="AE85" s="518"/>
      <c r="AF85" s="518"/>
      <c r="AG85" s="518"/>
      <c r="AH85" s="518"/>
      <c r="AI85" s="518"/>
      <c r="AJ85" s="621"/>
      <c r="AK85" s="508"/>
      <c r="AL85" s="563"/>
      <c r="AM85" s="508"/>
      <c r="AN85" s="508"/>
      <c r="AO85" s="508"/>
      <c r="AP85" s="508"/>
      <c r="AR85" s="508"/>
    </row>
    <row r="86" spans="1:44" ht="12.75" hidden="1">
      <c r="A86" s="511" t="s">
        <v>490</v>
      </c>
      <c r="B86" s="525"/>
      <c r="C86" s="525"/>
      <c r="D86" s="512"/>
      <c r="E86" s="525"/>
      <c r="F86" s="525"/>
      <c r="G86" s="512"/>
      <c r="H86" s="525"/>
      <c r="I86" s="525"/>
      <c r="J86" s="512"/>
      <c r="K86" s="509"/>
      <c r="L86" s="518"/>
      <c r="M86" s="511"/>
      <c r="N86" s="521"/>
      <c r="O86" s="521"/>
      <c r="P86" s="521"/>
      <c r="Q86" s="513"/>
      <c r="R86" s="521"/>
      <c r="S86" s="512"/>
      <c r="T86" s="525"/>
      <c r="U86" s="525"/>
      <c r="V86" s="512"/>
      <c r="W86" s="525"/>
      <c r="X86" s="525"/>
      <c r="Y86" s="540"/>
      <c r="Z86" s="525"/>
      <c r="AA86" s="525"/>
      <c r="AB86" s="512"/>
      <c r="AC86" s="540"/>
      <c r="AD86" s="517"/>
      <c r="AE86" s="518"/>
      <c r="AF86" s="518"/>
      <c r="AG86" s="518"/>
      <c r="AH86" s="518"/>
      <c r="AI86" s="518"/>
      <c r="AJ86" s="621"/>
      <c r="AK86" s="508"/>
      <c r="AL86" s="563"/>
      <c r="AM86" s="508"/>
      <c r="AN86" s="508"/>
      <c r="AO86" s="508"/>
      <c r="AP86" s="508"/>
      <c r="AR86" s="508"/>
    </row>
    <row r="87" spans="1:44" ht="12.75" hidden="1">
      <c r="A87" s="511" t="s">
        <v>286</v>
      </c>
      <c r="B87" s="525"/>
      <c r="C87" s="525"/>
      <c r="D87" s="512"/>
      <c r="E87" s="525"/>
      <c r="F87" s="525"/>
      <c r="G87" s="512"/>
      <c r="H87" s="525"/>
      <c r="I87" s="525"/>
      <c r="J87" s="512"/>
      <c r="K87" s="509"/>
      <c r="L87" s="518"/>
      <c r="M87" s="511"/>
      <c r="N87" s="521"/>
      <c r="O87" s="521"/>
      <c r="P87" s="521"/>
      <c r="Q87" s="513"/>
      <c r="R87" s="521"/>
      <c r="S87" s="512"/>
      <c r="T87" s="525"/>
      <c r="U87" s="525"/>
      <c r="V87" s="512"/>
      <c r="W87" s="525"/>
      <c r="X87" s="525"/>
      <c r="Y87" s="540"/>
      <c r="Z87" s="525"/>
      <c r="AA87" s="525"/>
      <c r="AB87" s="512"/>
      <c r="AC87" s="540"/>
      <c r="AD87" s="517"/>
      <c r="AE87" s="518"/>
      <c r="AF87" s="518"/>
      <c r="AG87" s="518"/>
      <c r="AH87" s="518"/>
      <c r="AI87" s="518"/>
      <c r="AJ87" s="621"/>
      <c r="AK87" s="508"/>
      <c r="AL87" s="563"/>
      <c r="AM87" s="508"/>
      <c r="AN87" s="508"/>
      <c r="AO87" s="508"/>
      <c r="AP87" s="508"/>
      <c r="AR87" s="508"/>
    </row>
    <row r="88" spans="1:44" ht="12.75" hidden="1">
      <c r="A88" s="511" t="s">
        <v>491</v>
      </c>
      <c r="B88" s="525"/>
      <c r="C88" s="525"/>
      <c r="D88" s="512"/>
      <c r="E88" s="525"/>
      <c r="F88" s="525"/>
      <c r="G88" s="512"/>
      <c r="H88" s="525"/>
      <c r="I88" s="525"/>
      <c r="J88" s="512"/>
      <c r="K88" s="509"/>
      <c r="L88" s="518"/>
      <c r="M88" s="511"/>
      <c r="N88" s="521"/>
      <c r="O88" s="521"/>
      <c r="P88" s="521"/>
      <c r="Q88" s="513"/>
      <c r="R88" s="521"/>
      <c r="S88" s="512"/>
      <c r="T88" s="525"/>
      <c r="U88" s="525"/>
      <c r="V88" s="512"/>
      <c r="W88" s="525"/>
      <c r="X88" s="525"/>
      <c r="Y88" s="540"/>
      <c r="Z88" s="525"/>
      <c r="AA88" s="525"/>
      <c r="AB88" s="512"/>
      <c r="AC88" s="540"/>
      <c r="AD88" s="517"/>
      <c r="AE88" s="518"/>
      <c r="AF88" s="518"/>
      <c r="AG88" s="518"/>
      <c r="AH88" s="518"/>
      <c r="AI88" s="518"/>
      <c r="AJ88" s="621"/>
      <c r="AK88" s="508"/>
      <c r="AL88" s="563"/>
      <c r="AM88" s="508"/>
      <c r="AN88" s="508"/>
      <c r="AO88" s="508"/>
      <c r="AP88" s="508"/>
      <c r="AR88" s="508"/>
    </row>
    <row r="89" spans="1:44" ht="12.75" hidden="1">
      <c r="A89" s="511" t="s">
        <v>287</v>
      </c>
      <c r="B89" s="525"/>
      <c r="C89" s="525"/>
      <c r="D89" s="512"/>
      <c r="E89" s="525"/>
      <c r="F89" s="525"/>
      <c r="G89" s="512"/>
      <c r="H89" s="525"/>
      <c r="I89" s="525"/>
      <c r="J89" s="512"/>
      <c r="K89" s="509"/>
      <c r="L89" s="518"/>
      <c r="M89" s="511"/>
      <c r="N89" s="521"/>
      <c r="O89" s="521"/>
      <c r="P89" s="521"/>
      <c r="Q89" s="513"/>
      <c r="R89" s="521"/>
      <c r="S89" s="512"/>
      <c r="T89" s="525"/>
      <c r="U89" s="525"/>
      <c r="V89" s="512"/>
      <c r="W89" s="525"/>
      <c r="X89" s="525"/>
      <c r="Y89" s="540"/>
      <c r="Z89" s="525"/>
      <c r="AA89" s="525"/>
      <c r="AB89" s="512"/>
      <c r="AC89" s="540"/>
      <c r="AD89" s="517"/>
      <c r="AE89" s="518"/>
      <c r="AF89" s="518"/>
      <c r="AG89" s="518"/>
      <c r="AH89" s="518"/>
      <c r="AI89" s="518"/>
      <c r="AJ89" s="621"/>
      <c r="AK89" s="508"/>
      <c r="AL89" s="563"/>
      <c r="AM89" s="508"/>
      <c r="AN89" s="508"/>
      <c r="AO89" s="508"/>
      <c r="AP89" s="508"/>
      <c r="AR89" s="508"/>
    </row>
    <row r="90" spans="1:44" ht="12.75" hidden="1">
      <c r="A90" s="511" t="s">
        <v>492</v>
      </c>
      <c r="B90" s="525"/>
      <c r="C90" s="525"/>
      <c r="D90" s="512"/>
      <c r="E90" s="525"/>
      <c r="F90" s="525"/>
      <c r="G90" s="512"/>
      <c r="H90" s="525"/>
      <c r="I90" s="525"/>
      <c r="J90" s="512"/>
      <c r="K90" s="509"/>
      <c r="L90" s="518"/>
      <c r="M90" s="511"/>
      <c r="N90" s="521"/>
      <c r="O90" s="521"/>
      <c r="P90" s="521"/>
      <c r="Q90" s="513"/>
      <c r="R90" s="521"/>
      <c r="S90" s="512"/>
      <c r="T90" s="525"/>
      <c r="U90" s="525"/>
      <c r="V90" s="512"/>
      <c r="W90" s="525"/>
      <c r="X90" s="525"/>
      <c r="Y90" s="540"/>
      <c r="Z90" s="525"/>
      <c r="AA90" s="525"/>
      <c r="AB90" s="512"/>
      <c r="AC90" s="540"/>
      <c r="AD90" s="517"/>
      <c r="AE90" s="518"/>
      <c r="AF90" s="518"/>
      <c r="AG90" s="518"/>
      <c r="AH90" s="518"/>
      <c r="AI90" s="518"/>
      <c r="AJ90" s="621"/>
      <c r="AK90" s="508"/>
      <c r="AL90" s="563"/>
      <c r="AM90" s="508"/>
      <c r="AN90" s="508"/>
      <c r="AO90" s="508"/>
      <c r="AP90" s="508"/>
      <c r="AR90" s="508"/>
    </row>
    <row r="91" spans="1:44" ht="12.75" hidden="1">
      <c r="A91" s="511" t="s">
        <v>288</v>
      </c>
      <c r="B91" s="525"/>
      <c r="C91" s="525"/>
      <c r="D91" s="512"/>
      <c r="E91" s="525"/>
      <c r="F91" s="525"/>
      <c r="G91" s="512"/>
      <c r="H91" s="525"/>
      <c r="I91" s="525"/>
      <c r="J91" s="512"/>
      <c r="K91" s="509"/>
      <c r="L91" s="518"/>
      <c r="M91" s="511"/>
      <c r="N91" s="521"/>
      <c r="O91" s="521"/>
      <c r="P91" s="521"/>
      <c r="Q91" s="513"/>
      <c r="R91" s="521"/>
      <c r="S91" s="512"/>
      <c r="T91" s="525"/>
      <c r="U91" s="525"/>
      <c r="V91" s="512"/>
      <c r="W91" s="525"/>
      <c r="X91" s="525"/>
      <c r="Y91" s="540"/>
      <c r="Z91" s="525"/>
      <c r="AA91" s="525"/>
      <c r="AB91" s="512"/>
      <c r="AC91" s="540"/>
      <c r="AD91" s="517"/>
      <c r="AE91" s="518"/>
      <c r="AF91" s="518"/>
      <c r="AG91" s="518"/>
      <c r="AH91" s="518"/>
      <c r="AI91" s="518"/>
      <c r="AJ91" s="621"/>
      <c r="AK91" s="508"/>
      <c r="AL91" s="563"/>
      <c r="AM91" s="508"/>
      <c r="AN91" s="508"/>
      <c r="AO91" s="508"/>
      <c r="AP91" s="508"/>
      <c r="AR91" s="508"/>
    </row>
    <row r="92" spans="1:44" ht="12.75" hidden="1">
      <c r="A92" s="511" t="s">
        <v>493</v>
      </c>
      <c r="B92" s="525"/>
      <c r="C92" s="525"/>
      <c r="D92" s="512"/>
      <c r="E92" s="525"/>
      <c r="F92" s="525"/>
      <c r="G92" s="512"/>
      <c r="H92" s="525"/>
      <c r="I92" s="525"/>
      <c r="J92" s="512"/>
      <c r="K92" s="509"/>
      <c r="L92" s="518"/>
      <c r="M92" s="511"/>
      <c r="N92" s="521"/>
      <c r="O92" s="521"/>
      <c r="P92" s="521"/>
      <c r="Q92" s="513"/>
      <c r="R92" s="521"/>
      <c r="S92" s="512"/>
      <c r="T92" s="525"/>
      <c r="U92" s="525"/>
      <c r="V92" s="512"/>
      <c r="W92" s="525"/>
      <c r="X92" s="525"/>
      <c r="Y92" s="540"/>
      <c r="Z92" s="525"/>
      <c r="AA92" s="525"/>
      <c r="AB92" s="512"/>
      <c r="AC92" s="540"/>
      <c r="AD92" s="517"/>
      <c r="AE92" s="518"/>
      <c r="AF92" s="518"/>
      <c r="AG92" s="518"/>
      <c r="AH92" s="518"/>
      <c r="AI92" s="518"/>
      <c r="AJ92" s="621"/>
      <c r="AK92" s="508"/>
      <c r="AL92" s="563"/>
      <c r="AM92" s="508"/>
      <c r="AN92" s="508"/>
      <c r="AO92" s="508"/>
      <c r="AP92" s="508"/>
      <c r="AR92" s="508"/>
    </row>
    <row r="93" spans="1:44" ht="12.75" hidden="1">
      <c r="A93" s="511" t="s">
        <v>289</v>
      </c>
      <c r="B93" s="525"/>
      <c r="C93" s="525"/>
      <c r="D93" s="512"/>
      <c r="E93" s="525"/>
      <c r="F93" s="525"/>
      <c r="G93" s="512"/>
      <c r="H93" s="525"/>
      <c r="I93" s="525"/>
      <c r="J93" s="512"/>
      <c r="K93" s="509"/>
      <c r="L93" s="518"/>
      <c r="M93" s="511"/>
      <c r="N93" s="521"/>
      <c r="O93" s="521"/>
      <c r="P93" s="521"/>
      <c r="Q93" s="513"/>
      <c r="R93" s="521"/>
      <c r="S93" s="512"/>
      <c r="T93" s="525"/>
      <c r="U93" s="525"/>
      <c r="V93" s="512"/>
      <c r="W93" s="525"/>
      <c r="X93" s="525"/>
      <c r="Y93" s="540"/>
      <c r="Z93" s="525"/>
      <c r="AA93" s="525"/>
      <c r="AB93" s="512"/>
      <c r="AC93" s="540"/>
      <c r="AD93" s="517"/>
      <c r="AE93" s="518"/>
      <c r="AF93" s="518"/>
      <c r="AG93" s="518"/>
      <c r="AH93" s="518"/>
      <c r="AI93" s="518"/>
      <c r="AJ93" s="621"/>
      <c r="AK93" s="508"/>
      <c r="AL93" s="563"/>
      <c r="AM93" s="508"/>
      <c r="AN93" s="508"/>
      <c r="AO93" s="508"/>
      <c r="AP93" s="508"/>
      <c r="AR93" s="508"/>
    </row>
    <row r="94" spans="1:44" ht="12.75" hidden="1">
      <c r="A94" s="511" t="s">
        <v>494</v>
      </c>
      <c r="B94" s="525"/>
      <c r="C94" s="525"/>
      <c r="D94" s="512"/>
      <c r="E94" s="525"/>
      <c r="F94" s="525"/>
      <c r="G94" s="512"/>
      <c r="H94" s="525"/>
      <c r="I94" s="525"/>
      <c r="J94" s="512"/>
      <c r="K94" s="509"/>
      <c r="L94" s="518"/>
      <c r="M94" s="511"/>
      <c r="N94" s="521"/>
      <c r="O94" s="521"/>
      <c r="P94" s="521"/>
      <c r="Q94" s="513"/>
      <c r="R94" s="521"/>
      <c r="S94" s="512"/>
      <c r="T94" s="525"/>
      <c r="U94" s="525"/>
      <c r="V94" s="512"/>
      <c r="W94" s="525"/>
      <c r="X94" s="525"/>
      <c r="Y94" s="540"/>
      <c r="Z94" s="525"/>
      <c r="AA94" s="525"/>
      <c r="AB94" s="512"/>
      <c r="AC94" s="540"/>
      <c r="AD94" s="517"/>
      <c r="AE94" s="518"/>
      <c r="AF94" s="518"/>
      <c r="AG94" s="518"/>
      <c r="AH94" s="518"/>
      <c r="AI94" s="518"/>
      <c r="AJ94" s="621"/>
      <c r="AK94" s="508"/>
      <c r="AL94" s="563"/>
      <c r="AM94" s="508"/>
      <c r="AN94" s="508"/>
      <c r="AO94" s="508"/>
      <c r="AP94" s="508"/>
      <c r="AR94" s="508"/>
    </row>
    <row r="95" spans="1:44" ht="12.75" hidden="1">
      <c r="A95" s="511" t="s">
        <v>290</v>
      </c>
      <c r="B95" s="525"/>
      <c r="C95" s="525"/>
      <c r="D95" s="512"/>
      <c r="E95" s="525"/>
      <c r="F95" s="525"/>
      <c r="G95" s="512"/>
      <c r="H95" s="525"/>
      <c r="I95" s="525"/>
      <c r="J95" s="512"/>
      <c r="K95" s="509"/>
      <c r="L95" s="518"/>
      <c r="M95" s="511"/>
      <c r="N95" s="521"/>
      <c r="O95" s="521"/>
      <c r="P95" s="521"/>
      <c r="Q95" s="513"/>
      <c r="R95" s="521"/>
      <c r="S95" s="512"/>
      <c r="T95" s="525"/>
      <c r="U95" s="525"/>
      <c r="V95" s="512"/>
      <c r="W95" s="525"/>
      <c r="X95" s="525"/>
      <c r="Y95" s="540"/>
      <c r="Z95" s="525"/>
      <c r="AA95" s="525"/>
      <c r="AB95" s="512"/>
      <c r="AC95" s="540"/>
      <c r="AD95" s="517"/>
      <c r="AE95" s="518"/>
      <c r="AF95" s="518"/>
      <c r="AG95" s="518"/>
      <c r="AH95" s="518"/>
      <c r="AI95" s="518"/>
      <c r="AJ95" s="621"/>
      <c r="AK95" s="508"/>
      <c r="AL95" s="563"/>
      <c r="AM95" s="508"/>
      <c r="AN95" s="508"/>
      <c r="AO95" s="508"/>
      <c r="AP95" s="508"/>
      <c r="AR95" s="508"/>
    </row>
    <row r="96" spans="1:44" ht="12.75" hidden="1">
      <c r="A96" s="511" t="s">
        <v>495</v>
      </c>
      <c r="B96" s="525"/>
      <c r="C96" s="525"/>
      <c r="D96" s="512"/>
      <c r="E96" s="525"/>
      <c r="F96" s="525"/>
      <c r="G96" s="512"/>
      <c r="H96" s="525"/>
      <c r="I96" s="525"/>
      <c r="J96" s="512"/>
      <c r="K96" s="509"/>
      <c r="L96" s="518"/>
      <c r="M96" s="511"/>
      <c r="N96" s="521"/>
      <c r="O96" s="521"/>
      <c r="P96" s="521"/>
      <c r="Q96" s="513"/>
      <c r="R96" s="521"/>
      <c r="S96" s="512"/>
      <c r="T96" s="525"/>
      <c r="U96" s="525"/>
      <c r="V96" s="512"/>
      <c r="W96" s="525"/>
      <c r="X96" s="525"/>
      <c r="Y96" s="540"/>
      <c r="Z96" s="525"/>
      <c r="AA96" s="525"/>
      <c r="AB96" s="512"/>
      <c r="AC96" s="540"/>
      <c r="AD96" s="517"/>
      <c r="AE96" s="518"/>
      <c r="AF96" s="518"/>
      <c r="AG96" s="518"/>
      <c r="AH96" s="518"/>
      <c r="AI96" s="518"/>
      <c r="AJ96" s="621"/>
      <c r="AK96" s="508"/>
      <c r="AL96" s="563"/>
      <c r="AM96" s="508"/>
      <c r="AN96" s="508"/>
      <c r="AO96" s="508"/>
      <c r="AP96" s="508"/>
      <c r="AR96" s="508"/>
    </row>
    <row r="97" spans="1:44" ht="12.75" hidden="1">
      <c r="A97" s="511" t="s">
        <v>291</v>
      </c>
      <c r="B97" s="525"/>
      <c r="C97" s="525"/>
      <c r="D97" s="512"/>
      <c r="E97" s="525"/>
      <c r="F97" s="525"/>
      <c r="G97" s="512"/>
      <c r="H97" s="525"/>
      <c r="I97" s="525"/>
      <c r="J97" s="512"/>
      <c r="K97" s="509"/>
      <c r="L97" s="518"/>
      <c r="M97" s="511"/>
      <c r="N97" s="541"/>
      <c r="O97" s="525"/>
      <c r="P97" s="521"/>
      <c r="Q97" s="513"/>
      <c r="R97" s="521"/>
      <c r="S97" s="512"/>
      <c r="T97" s="525"/>
      <c r="U97" s="525"/>
      <c r="V97" s="512"/>
      <c r="W97" s="525"/>
      <c r="X97" s="525"/>
      <c r="Y97" s="540"/>
      <c r="Z97" s="525"/>
      <c r="AA97" s="525"/>
      <c r="AB97" s="512"/>
      <c r="AC97" s="540"/>
      <c r="AD97" s="517"/>
      <c r="AE97" s="518"/>
      <c r="AF97" s="518"/>
      <c r="AG97" s="518"/>
      <c r="AH97" s="518"/>
      <c r="AI97" s="518"/>
      <c r="AJ97" s="621"/>
      <c r="AK97" s="508"/>
      <c r="AL97" s="563"/>
      <c r="AM97" s="508"/>
      <c r="AN97" s="508"/>
      <c r="AO97" s="508"/>
      <c r="AP97" s="508"/>
      <c r="AR97" s="508"/>
    </row>
    <row r="98" spans="1:44" ht="12.75" hidden="1">
      <c r="A98" s="511" t="s">
        <v>496</v>
      </c>
      <c r="B98" s="525"/>
      <c r="C98" s="525"/>
      <c r="D98" s="512"/>
      <c r="E98" s="525"/>
      <c r="F98" s="525"/>
      <c r="G98" s="512"/>
      <c r="H98" s="525"/>
      <c r="I98" s="525"/>
      <c r="J98" s="512"/>
      <c r="K98" s="509"/>
      <c r="L98" s="518"/>
      <c r="M98" s="511"/>
      <c r="N98" s="525"/>
      <c r="O98" s="525"/>
      <c r="P98" s="525"/>
      <c r="Q98" s="513"/>
      <c r="R98" s="525"/>
      <c r="S98" s="512"/>
      <c r="T98" s="525"/>
      <c r="U98" s="525"/>
      <c r="V98" s="512"/>
      <c r="W98" s="525"/>
      <c r="X98" s="525"/>
      <c r="Y98" s="540"/>
      <c r="Z98" s="525"/>
      <c r="AA98" s="525"/>
      <c r="AB98" s="512"/>
      <c r="AC98" s="540"/>
      <c r="AD98" s="517"/>
      <c r="AE98" s="518"/>
      <c r="AF98" s="518"/>
      <c r="AG98" s="518"/>
      <c r="AH98" s="518"/>
      <c r="AI98" s="518"/>
      <c r="AJ98" s="621"/>
      <c r="AK98" s="508"/>
      <c r="AL98" s="563"/>
      <c r="AM98" s="508"/>
      <c r="AN98" s="508"/>
      <c r="AO98" s="508"/>
      <c r="AP98" s="508"/>
      <c r="AR98" s="508"/>
    </row>
    <row r="99" spans="1:44" s="536" customFormat="1" ht="12.75" hidden="1">
      <c r="A99" s="515" t="s">
        <v>270</v>
      </c>
      <c r="B99" s="526"/>
      <c r="C99" s="526"/>
      <c r="D99" s="516"/>
      <c r="E99" s="526"/>
      <c r="F99" s="526"/>
      <c r="G99" s="516"/>
      <c r="H99" s="526"/>
      <c r="I99" s="526"/>
      <c r="J99" s="516"/>
      <c r="K99" s="527"/>
      <c r="L99" s="527"/>
      <c r="M99" s="519"/>
      <c r="N99" s="519"/>
      <c r="O99" s="519"/>
      <c r="P99" s="514"/>
      <c r="Q99" s="596"/>
      <c r="R99" s="515"/>
      <c r="S99" s="516"/>
      <c r="T99" s="526"/>
      <c r="U99" s="526"/>
      <c r="V99" s="516"/>
      <c r="W99" s="526"/>
      <c r="X99" s="526"/>
      <c r="Y99" s="530"/>
      <c r="Z99" s="526"/>
      <c r="AA99" s="526"/>
      <c r="AB99" s="516"/>
      <c r="AC99" s="530"/>
      <c r="AD99" s="516"/>
      <c r="AE99" s="527"/>
      <c r="AF99" s="527"/>
      <c r="AG99" s="527"/>
      <c r="AH99" s="527"/>
      <c r="AI99" s="527"/>
      <c r="AJ99" s="623"/>
      <c r="AK99" s="561"/>
      <c r="AL99" s="561"/>
      <c r="AM99" s="561"/>
      <c r="AN99" s="561"/>
      <c r="AO99" s="561"/>
      <c r="AP99" s="561"/>
      <c r="AR99" s="561"/>
    </row>
    <row r="100" spans="1:44" ht="12.75" hidden="1">
      <c r="A100" s="511" t="s">
        <v>271</v>
      </c>
      <c r="B100" s="525"/>
      <c r="C100" s="525"/>
      <c r="D100" s="512"/>
      <c r="E100" s="525"/>
      <c r="F100" s="525"/>
      <c r="G100" s="512"/>
      <c r="H100" s="525"/>
      <c r="I100" s="525"/>
      <c r="J100" s="512"/>
      <c r="K100" s="509"/>
      <c r="L100" s="518"/>
      <c r="M100" s="520"/>
      <c r="N100" s="521"/>
      <c r="O100" s="521"/>
      <c r="P100" s="521"/>
      <c r="Q100" s="513"/>
      <c r="R100" s="521"/>
      <c r="S100" s="512"/>
      <c r="T100" s="525"/>
      <c r="U100" s="525"/>
      <c r="V100" s="512"/>
      <c r="W100" s="525"/>
      <c r="X100" s="525"/>
      <c r="Y100" s="540"/>
      <c r="Z100" s="525"/>
      <c r="AA100" s="525"/>
      <c r="AB100" s="512"/>
      <c r="AC100" s="540"/>
      <c r="AD100" s="517"/>
      <c r="AE100" s="518"/>
      <c r="AF100" s="518"/>
      <c r="AG100" s="518"/>
      <c r="AH100" s="518"/>
      <c r="AI100" s="518"/>
      <c r="AJ100" s="619"/>
      <c r="AK100" s="508"/>
      <c r="AL100" s="563"/>
      <c r="AM100" s="508"/>
      <c r="AN100" s="508"/>
      <c r="AO100" s="508"/>
      <c r="AP100" s="508"/>
      <c r="AR100" s="508"/>
    </row>
    <row r="101" spans="1:44" ht="12.75" hidden="1">
      <c r="A101" s="511" t="s">
        <v>272</v>
      </c>
      <c r="B101" s="525"/>
      <c r="C101" s="525"/>
      <c r="D101" s="512"/>
      <c r="E101" s="525"/>
      <c r="F101" s="525"/>
      <c r="G101" s="512"/>
      <c r="H101" s="525"/>
      <c r="I101" s="525"/>
      <c r="J101" s="512"/>
      <c r="K101" s="509"/>
      <c r="L101" s="518"/>
      <c r="M101" s="520"/>
      <c r="N101" s="521"/>
      <c r="O101" s="521"/>
      <c r="P101" s="521"/>
      <c r="Q101" s="513"/>
      <c r="R101" s="521"/>
      <c r="S101" s="512"/>
      <c r="T101" s="525"/>
      <c r="U101" s="525"/>
      <c r="V101" s="512"/>
      <c r="W101" s="525"/>
      <c r="X101" s="525"/>
      <c r="Y101" s="540"/>
      <c r="Z101" s="525"/>
      <c r="AA101" s="525"/>
      <c r="AB101" s="512"/>
      <c r="AC101" s="540"/>
      <c r="AD101" s="517"/>
      <c r="AE101" s="518"/>
      <c r="AF101" s="518"/>
      <c r="AG101" s="518"/>
      <c r="AH101" s="518"/>
      <c r="AI101" s="518"/>
      <c r="AJ101" s="619"/>
      <c r="AK101" s="508"/>
      <c r="AL101" s="563"/>
      <c r="AM101" s="508"/>
      <c r="AN101" s="508"/>
      <c r="AO101" s="508"/>
      <c r="AP101" s="508"/>
      <c r="AR101" s="508"/>
    </row>
    <row r="102" spans="1:44" ht="12.75" hidden="1">
      <c r="A102" s="511" t="s">
        <v>273</v>
      </c>
      <c r="B102" s="525"/>
      <c r="C102" s="525"/>
      <c r="D102" s="512"/>
      <c r="E102" s="525"/>
      <c r="F102" s="525"/>
      <c r="G102" s="512"/>
      <c r="H102" s="525"/>
      <c r="I102" s="525"/>
      <c r="J102" s="512"/>
      <c r="K102" s="509"/>
      <c r="L102" s="518"/>
      <c r="M102" s="520"/>
      <c r="N102" s="521"/>
      <c r="O102" s="521"/>
      <c r="P102" s="521"/>
      <c r="Q102" s="513"/>
      <c r="R102" s="521"/>
      <c r="S102" s="512"/>
      <c r="T102" s="525"/>
      <c r="U102" s="525"/>
      <c r="V102" s="512"/>
      <c r="W102" s="525"/>
      <c r="X102" s="525"/>
      <c r="Y102" s="540"/>
      <c r="Z102" s="525"/>
      <c r="AA102" s="525"/>
      <c r="AB102" s="512"/>
      <c r="AC102" s="540"/>
      <c r="AD102" s="517"/>
      <c r="AE102" s="518"/>
      <c r="AF102" s="518"/>
      <c r="AG102" s="518"/>
      <c r="AH102" s="518"/>
      <c r="AI102" s="518"/>
      <c r="AJ102" s="619"/>
      <c r="AK102" s="508"/>
      <c r="AL102" s="563"/>
      <c r="AM102" s="508"/>
      <c r="AN102" s="508"/>
      <c r="AO102" s="508"/>
      <c r="AP102" s="508"/>
      <c r="AR102" s="508"/>
    </row>
    <row r="103" spans="1:44" ht="12.75" hidden="1">
      <c r="A103" s="511" t="s">
        <v>274</v>
      </c>
      <c r="B103" s="525"/>
      <c r="C103" s="525"/>
      <c r="D103" s="512"/>
      <c r="E103" s="525"/>
      <c r="F103" s="525"/>
      <c r="G103" s="512"/>
      <c r="H103" s="525"/>
      <c r="I103" s="525"/>
      <c r="J103" s="512"/>
      <c r="K103" s="509"/>
      <c r="L103" s="518"/>
      <c r="M103" s="520"/>
      <c r="N103" s="521"/>
      <c r="O103" s="521"/>
      <c r="P103" s="521"/>
      <c r="Q103" s="513"/>
      <c r="R103" s="521"/>
      <c r="S103" s="512"/>
      <c r="T103" s="525"/>
      <c r="U103" s="525"/>
      <c r="V103" s="512"/>
      <c r="W103" s="525"/>
      <c r="X103" s="525"/>
      <c r="Y103" s="540"/>
      <c r="Z103" s="525"/>
      <c r="AA103" s="525"/>
      <c r="AB103" s="512"/>
      <c r="AC103" s="540"/>
      <c r="AD103" s="517"/>
      <c r="AE103" s="518"/>
      <c r="AF103" s="518"/>
      <c r="AG103" s="518"/>
      <c r="AH103" s="518"/>
      <c r="AI103" s="518"/>
      <c r="AJ103" s="619"/>
      <c r="AK103" s="508"/>
      <c r="AL103" s="563"/>
      <c r="AM103" s="508"/>
      <c r="AN103" s="508"/>
      <c r="AO103" s="508"/>
      <c r="AP103" s="508"/>
      <c r="AR103" s="508"/>
    </row>
    <row r="104" spans="1:44" ht="12.75" hidden="1">
      <c r="A104" s="511" t="s">
        <v>275</v>
      </c>
      <c r="B104" s="525"/>
      <c r="C104" s="525"/>
      <c r="D104" s="512"/>
      <c r="E104" s="525"/>
      <c r="F104" s="525"/>
      <c r="G104" s="512"/>
      <c r="H104" s="525"/>
      <c r="I104" s="525"/>
      <c r="J104" s="512"/>
      <c r="K104" s="509"/>
      <c r="L104" s="518"/>
      <c r="M104" s="520"/>
      <c r="N104" s="521"/>
      <c r="O104" s="521"/>
      <c r="P104" s="521"/>
      <c r="Q104" s="513"/>
      <c r="R104" s="521"/>
      <c r="S104" s="512"/>
      <c r="T104" s="525"/>
      <c r="U104" s="525"/>
      <c r="V104" s="512"/>
      <c r="W104" s="525"/>
      <c r="X104" s="525"/>
      <c r="Y104" s="540"/>
      <c r="Z104" s="525"/>
      <c r="AA104" s="525"/>
      <c r="AB104" s="512"/>
      <c r="AC104" s="540"/>
      <c r="AD104" s="517"/>
      <c r="AE104" s="518"/>
      <c r="AF104" s="518"/>
      <c r="AG104" s="518"/>
      <c r="AH104" s="518"/>
      <c r="AI104" s="518"/>
      <c r="AJ104" s="619"/>
      <c r="AK104" s="508"/>
      <c r="AL104" s="563"/>
      <c r="AM104" s="508"/>
      <c r="AN104" s="508"/>
      <c r="AO104" s="508"/>
      <c r="AP104" s="508"/>
      <c r="AR104" s="508"/>
    </row>
    <row r="105" spans="1:44" ht="12.75" hidden="1">
      <c r="A105" s="511" t="s">
        <v>276</v>
      </c>
      <c r="B105" s="525"/>
      <c r="C105" s="525"/>
      <c r="D105" s="512"/>
      <c r="E105" s="525"/>
      <c r="F105" s="525"/>
      <c r="G105" s="512"/>
      <c r="H105" s="525"/>
      <c r="I105" s="525"/>
      <c r="J105" s="512"/>
      <c r="K105" s="509"/>
      <c r="L105" s="518"/>
      <c r="M105" s="520"/>
      <c r="N105" s="521"/>
      <c r="O105" s="521"/>
      <c r="P105" s="521"/>
      <c r="Q105" s="513"/>
      <c r="R105" s="521"/>
      <c r="S105" s="512"/>
      <c r="T105" s="525"/>
      <c r="U105" s="525"/>
      <c r="V105" s="512"/>
      <c r="W105" s="525"/>
      <c r="X105" s="525"/>
      <c r="Y105" s="540"/>
      <c r="Z105" s="525"/>
      <c r="AA105" s="525"/>
      <c r="AB105" s="512"/>
      <c r="AC105" s="540"/>
      <c r="AD105" s="517"/>
      <c r="AE105" s="518"/>
      <c r="AF105" s="518"/>
      <c r="AG105" s="518"/>
      <c r="AH105" s="518"/>
      <c r="AI105" s="518"/>
      <c r="AJ105" s="619"/>
      <c r="AK105" s="508"/>
      <c r="AL105" s="563"/>
      <c r="AM105" s="508"/>
      <c r="AN105" s="508"/>
      <c r="AO105" s="508"/>
      <c r="AP105" s="508"/>
      <c r="AR105" s="508"/>
    </row>
    <row r="106" spans="1:44" ht="12.75" hidden="1">
      <c r="A106" s="511" t="s">
        <v>277</v>
      </c>
      <c r="B106" s="525"/>
      <c r="C106" s="525"/>
      <c r="D106" s="512"/>
      <c r="E106" s="525"/>
      <c r="F106" s="525"/>
      <c r="G106" s="512"/>
      <c r="H106" s="525"/>
      <c r="I106" s="525"/>
      <c r="J106" s="512"/>
      <c r="K106" s="509"/>
      <c r="L106" s="518"/>
      <c r="M106" s="520"/>
      <c r="N106" s="521"/>
      <c r="O106" s="521"/>
      <c r="P106" s="521"/>
      <c r="Q106" s="513"/>
      <c r="R106" s="521"/>
      <c r="S106" s="512"/>
      <c r="T106" s="525"/>
      <c r="U106" s="525"/>
      <c r="V106" s="512"/>
      <c r="W106" s="525"/>
      <c r="X106" s="525"/>
      <c r="Y106" s="540"/>
      <c r="Z106" s="525"/>
      <c r="AA106" s="525"/>
      <c r="AB106" s="512"/>
      <c r="AC106" s="540"/>
      <c r="AD106" s="517"/>
      <c r="AE106" s="518"/>
      <c r="AF106" s="518"/>
      <c r="AG106" s="518"/>
      <c r="AH106" s="518"/>
      <c r="AI106" s="518"/>
      <c r="AJ106" s="619"/>
      <c r="AK106" s="508"/>
      <c r="AL106" s="563"/>
      <c r="AM106" s="508"/>
      <c r="AN106" s="508"/>
      <c r="AO106" s="508"/>
      <c r="AP106" s="508"/>
      <c r="AR106" s="508"/>
    </row>
    <row r="107" spans="1:44" ht="12.75" hidden="1">
      <c r="A107" s="511" t="s">
        <v>278</v>
      </c>
      <c r="B107" s="525"/>
      <c r="C107" s="525"/>
      <c r="D107" s="512"/>
      <c r="E107" s="525"/>
      <c r="F107" s="525"/>
      <c r="G107" s="512"/>
      <c r="H107" s="525"/>
      <c r="I107" s="525"/>
      <c r="J107" s="512"/>
      <c r="K107" s="509"/>
      <c r="L107" s="518"/>
      <c r="M107" s="520"/>
      <c r="N107" s="521"/>
      <c r="O107" s="521"/>
      <c r="P107" s="521"/>
      <c r="Q107" s="513"/>
      <c r="R107" s="521"/>
      <c r="S107" s="512"/>
      <c r="T107" s="525"/>
      <c r="U107" s="525"/>
      <c r="V107" s="512"/>
      <c r="W107" s="525"/>
      <c r="X107" s="525"/>
      <c r="Y107" s="540"/>
      <c r="Z107" s="525"/>
      <c r="AA107" s="525"/>
      <c r="AB107" s="512"/>
      <c r="AC107" s="540"/>
      <c r="AD107" s="517"/>
      <c r="AE107" s="518"/>
      <c r="AF107" s="518"/>
      <c r="AG107" s="518"/>
      <c r="AH107" s="518"/>
      <c r="AI107" s="518"/>
      <c r="AJ107" s="619"/>
      <c r="AK107" s="508"/>
      <c r="AL107" s="563"/>
      <c r="AM107" s="508"/>
      <c r="AN107" s="508"/>
      <c r="AO107" s="508"/>
      <c r="AP107" s="508"/>
      <c r="AR107" s="508"/>
    </row>
    <row r="108" spans="1:44" ht="12.75" hidden="1">
      <c r="A108" s="511" t="s">
        <v>279</v>
      </c>
      <c r="B108" s="525"/>
      <c r="C108" s="525"/>
      <c r="D108" s="512"/>
      <c r="E108" s="525"/>
      <c r="F108" s="525"/>
      <c r="G108" s="512"/>
      <c r="H108" s="525"/>
      <c r="I108" s="525"/>
      <c r="J108" s="512"/>
      <c r="K108" s="509"/>
      <c r="L108" s="518"/>
      <c r="M108" s="520"/>
      <c r="N108" s="521"/>
      <c r="O108" s="521"/>
      <c r="P108" s="521"/>
      <c r="Q108" s="513"/>
      <c r="R108" s="521"/>
      <c r="S108" s="512"/>
      <c r="T108" s="525"/>
      <c r="U108" s="525"/>
      <c r="V108" s="512"/>
      <c r="W108" s="525"/>
      <c r="X108" s="525"/>
      <c r="Y108" s="540"/>
      <c r="Z108" s="525"/>
      <c r="AA108" s="525"/>
      <c r="AB108" s="512"/>
      <c r="AC108" s="540"/>
      <c r="AD108" s="517"/>
      <c r="AE108" s="518"/>
      <c r="AF108" s="518"/>
      <c r="AG108" s="518"/>
      <c r="AH108" s="518"/>
      <c r="AI108" s="518"/>
      <c r="AJ108" s="619"/>
      <c r="AK108" s="508"/>
      <c r="AL108" s="563"/>
      <c r="AM108" s="508"/>
      <c r="AN108" s="508"/>
      <c r="AO108" s="508"/>
      <c r="AP108" s="508"/>
      <c r="AR108" s="508"/>
    </row>
    <row r="109" spans="1:44" ht="12.75" hidden="1">
      <c r="A109" s="511" t="s">
        <v>497</v>
      </c>
      <c r="B109" s="525"/>
      <c r="C109" s="525"/>
      <c r="D109" s="512"/>
      <c r="E109" s="525"/>
      <c r="F109" s="525"/>
      <c r="G109" s="512"/>
      <c r="H109" s="525"/>
      <c r="I109" s="525"/>
      <c r="J109" s="512"/>
      <c r="K109" s="509"/>
      <c r="L109" s="518"/>
      <c r="M109" s="511"/>
      <c r="N109" s="521"/>
      <c r="O109" s="521"/>
      <c r="P109" s="521"/>
      <c r="Q109" s="513"/>
      <c r="R109" s="521"/>
      <c r="S109" s="512"/>
      <c r="T109" s="525"/>
      <c r="U109" s="532"/>
      <c r="V109" s="512"/>
      <c r="W109" s="525"/>
      <c r="X109" s="525"/>
      <c r="Y109" s="540"/>
      <c r="Z109" s="532"/>
      <c r="AA109" s="532"/>
      <c r="AB109" s="512"/>
      <c r="AC109" s="540"/>
      <c r="AD109" s="517"/>
      <c r="AE109" s="518"/>
      <c r="AF109" s="518"/>
      <c r="AG109" s="518"/>
      <c r="AH109" s="518"/>
      <c r="AI109" s="518"/>
      <c r="AJ109" s="621"/>
      <c r="AK109" s="508"/>
      <c r="AL109" s="563"/>
      <c r="AM109" s="508"/>
      <c r="AN109" s="508"/>
      <c r="AO109" s="508"/>
      <c r="AP109" s="508"/>
      <c r="AR109" s="508"/>
    </row>
    <row r="110" spans="1:44" ht="12.75" hidden="1">
      <c r="A110" s="511" t="s">
        <v>498</v>
      </c>
      <c r="B110" s="525"/>
      <c r="C110" s="525"/>
      <c r="D110" s="512"/>
      <c r="E110" s="525"/>
      <c r="F110" s="525"/>
      <c r="G110" s="512"/>
      <c r="H110" s="525"/>
      <c r="I110" s="525"/>
      <c r="J110" s="512"/>
      <c r="K110" s="509"/>
      <c r="L110" s="518"/>
      <c r="M110" s="511"/>
      <c r="N110" s="521"/>
      <c r="O110" s="521"/>
      <c r="P110" s="521"/>
      <c r="Q110" s="513"/>
      <c r="R110" s="521"/>
      <c r="S110" s="512"/>
      <c r="T110" s="525"/>
      <c r="U110" s="532"/>
      <c r="V110" s="512"/>
      <c r="W110" s="525"/>
      <c r="X110" s="525"/>
      <c r="Y110" s="540"/>
      <c r="Z110" s="532"/>
      <c r="AA110" s="532"/>
      <c r="AB110" s="512"/>
      <c r="AC110" s="540"/>
      <c r="AD110" s="517"/>
      <c r="AE110" s="518"/>
      <c r="AF110" s="518"/>
      <c r="AG110" s="518"/>
      <c r="AH110" s="518"/>
      <c r="AI110" s="518"/>
      <c r="AJ110" s="621"/>
      <c r="AK110" s="508"/>
      <c r="AL110" s="563"/>
      <c r="AM110" s="508"/>
      <c r="AN110" s="508"/>
      <c r="AO110" s="508"/>
      <c r="AP110" s="508"/>
      <c r="AR110" s="508"/>
    </row>
    <row r="111" spans="1:44" ht="12.75" hidden="1">
      <c r="A111" s="511" t="s">
        <v>499</v>
      </c>
      <c r="B111" s="525"/>
      <c r="C111" s="525"/>
      <c r="D111" s="512"/>
      <c r="E111" s="525"/>
      <c r="F111" s="525"/>
      <c r="G111" s="512"/>
      <c r="H111" s="525"/>
      <c r="I111" s="525"/>
      <c r="J111" s="512"/>
      <c r="K111" s="509"/>
      <c r="L111" s="518"/>
      <c r="M111" s="511"/>
      <c r="N111" s="521"/>
      <c r="O111" s="521"/>
      <c r="P111" s="521"/>
      <c r="Q111" s="513"/>
      <c r="R111" s="521"/>
      <c r="S111" s="512"/>
      <c r="T111" s="525"/>
      <c r="U111" s="532"/>
      <c r="V111" s="512"/>
      <c r="W111" s="525"/>
      <c r="X111" s="525"/>
      <c r="Y111" s="540"/>
      <c r="Z111" s="532"/>
      <c r="AA111" s="532"/>
      <c r="AB111" s="512"/>
      <c r="AC111" s="540"/>
      <c r="AD111" s="517"/>
      <c r="AE111" s="518"/>
      <c r="AF111" s="518"/>
      <c r="AG111" s="518"/>
      <c r="AH111" s="518"/>
      <c r="AI111" s="518"/>
      <c r="AJ111" s="621"/>
      <c r="AK111" s="508"/>
      <c r="AL111" s="563"/>
      <c r="AM111" s="508"/>
      <c r="AN111" s="508"/>
      <c r="AO111" s="508"/>
      <c r="AP111" s="508"/>
      <c r="AR111" s="508"/>
    </row>
    <row r="112" spans="1:44" ht="12.75" hidden="1">
      <c r="A112" s="511" t="s">
        <v>500</v>
      </c>
      <c r="B112" s="525"/>
      <c r="C112" s="525"/>
      <c r="D112" s="512"/>
      <c r="E112" s="525"/>
      <c r="F112" s="525"/>
      <c r="G112" s="512"/>
      <c r="H112" s="525"/>
      <c r="I112" s="525"/>
      <c r="J112" s="512"/>
      <c r="K112" s="509"/>
      <c r="L112" s="518"/>
      <c r="M112" s="511"/>
      <c r="N112" s="521"/>
      <c r="O112" s="521"/>
      <c r="P112" s="521"/>
      <c r="Q112" s="513"/>
      <c r="R112" s="521"/>
      <c r="S112" s="512"/>
      <c r="T112" s="525"/>
      <c r="U112" s="532"/>
      <c r="V112" s="512"/>
      <c r="W112" s="525"/>
      <c r="X112" s="525"/>
      <c r="Y112" s="540"/>
      <c r="Z112" s="532"/>
      <c r="AA112" s="532"/>
      <c r="AB112" s="512"/>
      <c r="AC112" s="540"/>
      <c r="AD112" s="517"/>
      <c r="AE112" s="518"/>
      <c r="AF112" s="518"/>
      <c r="AG112" s="518"/>
      <c r="AH112" s="518"/>
      <c r="AI112" s="518"/>
      <c r="AJ112" s="621"/>
      <c r="AK112" s="508"/>
      <c r="AL112" s="563"/>
      <c r="AM112" s="508"/>
      <c r="AN112" s="508"/>
      <c r="AO112" s="508"/>
      <c r="AP112" s="508"/>
      <c r="AR112" s="508"/>
    </row>
    <row r="113" spans="1:44" ht="12.75" hidden="1">
      <c r="A113" s="511" t="s">
        <v>501</v>
      </c>
      <c r="B113" s="525"/>
      <c r="C113" s="525"/>
      <c r="D113" s="512"/>
      <c r="E113" s="525"/>
      <c r="F113" s="525"/>
      <c r="G113" s="512"/>
      <c r="H113" s="525"/>
      <c r="I113" s="525"/>
      <c r="J113" s="512"/>
      <c r="K113" s="509"/>
      <c r="L113" s="518"/>
      <c r="M113" s="511"/>
      <c r="N113" s="521"/>
      <c r="O113" s="521"/>
      <c r="P113" s="521"/>
      <c r="Q113" s="513"/>
      <c r="R113" s="521"/>
      <c r="S113" s="512"/>
      <c r="T113" s="525"/>
      <c r="U113" s="532"/>
      <c r="V113" s="512"/>
      <c r="W113" s="525"/>
      <c r="X113" s="525"/>
      <c r="Y113" s="540"/>
      <c r="Z113" s="532"/>
      <c r="AA113" s="532"/>
      <c r="AB113" s="512"/>
      <c r="AC113" s="540"/>
      <c r="AD113" s="517"/>
      <c r="AE113" s="518"/>
      <c r="AF113" s="518"/>
      <c r="AG113" s="518"/>
      <c r="AH113" s="518"/>
      <c r="AI113" s="518"/>
      <c r="AJ113" s="621"/>
      <c r="AK113" s="508"/>
      <c r="AL113" s="563"/>
      <c r="AM113" s="508"/>
      <c r="AN113" s="508"/>
      <c r="AO113" s="508"/>
      <c r="AP113" s="508"/>
      <c r="AR113" s="508"/>
    </row>
    <row r="114" spans="1:44" ht="12.75" hidden="1">
      <c r="A114" s="511" t="s">
        <v>502</v>
      </c>
      <c r="B114" s="525"/>
      <c r="C114" s="525"/>
      <c r="D114" s="512"/>
      <c r="E114" s="525"/>
      <c r="F114" s="525"/>
      <c r="G114" s="512"/>
      <c r="H114" s="525"/>
      <c r="I114" s="525"/>
      <c r="J114" s="512"/>
      <c r="K114" s="509"/>
      <c r="L114" s="518"/>
      <c r="M114" s="511"/>
      <c r="N114" s="521"/>
      <c r="O114" s="521"/>
      <c r="P114" s="521"/>
      <c r="Q114" s="513"/>
      <c r="R114" s="521"/>
      <c r="S114" s="512"/>
      <c r="T114" s="525"/>
      <c r="U114" s="532"/>
      <c r="V114" s="512"/>
      <c r="W114" s="525"/>
      <c r="X114" s="525"/>
      <c r="Y114" s="540"/>
      <c r="Z114" s="532"/>
      <c r="AA114" s="532"/>
      <c r="AB114" s="512"/>
      <c r="AC114" s="540"/>
      <c r="AD114" s="517"/>
      <c r="AE114" s="518"/>
      <c r="AF114" s="518"/>
      <c r="AG114" s="518"/>
      <c r="AH114" s="518"/>
      <c r="AI114" s="518"/>
      <c r="AJ114" s="621"/>
      <c r="AK114" s="508"/>
      <c r="AL114" s="563"/>
      <c r="AM114" s="508"/>
      <c r="AN114" s="508"/>
      <c r="AO114" s="508"/>
      <c r="AP114" s="508"/>
      <c r="AR114" s="508"/>
    </row>
    <row r="115" spans="1:44" ht="12.75" hidden="1">
      <c r="A115" s="511" t="s">
        <v>503</v>
      </c>
      <c r="B115" s="525"/>
      <c r="C115" s="525"/>
      <c r="D115" s="512"/>
      <c r="E115" s="525"/>
      <c r="F115" s="525"/>
      <c r="G115" s="512"/>
      <c r="H115" s="525"/>
      <c r="I115" s="525"/>
      <c r="J115" s="512"/>
      <c r="K115" s="509"/>
      <c r="L115" s="518"/>
      <c r="M115" s="511"/>
      <c r="N115" s="521"/>
      <c r="O115" s="521"/>
      <c r="P115" s="521"/>
      <c r="Q115" s="513"/>
      <c r="R115" s="521"/>
      <c r="S115" s="512"/>
      <c r="T115" s="525"/>
      <c r="U115" s="532"/>
      <c r="V115" s="512"/>
      <c r="W115" s="525"/>
      <c r="X115" s="525"/>
      <c r="Y115" s="540"/>
      <c r="Z115" s="532"/>
      <c r="AA115" s="532"/>
      <c r="AB115" s="512"/>
      <c r="AC115" s="540"/>
      <c r="AD115" s="517"/>
      <c r="AE115" s="518"/>
      <c r="AF115" s="518"/>
      <c r="AG115" s="518"/>
      <c r="AH115" s="518"/>
      <c r="AI115" s="518"/>
      <c r="AJ115" s="621"/>
      <c r="AK115" s="508"/>
      <c r="AL115" s="563"/>
      <c r="AM115" s="508"/>
      <c r="AN115" s="508"/>
      <c r="AO115" s="508"/>
      <c r="AP115" s="508"/>
      <c r="AR115" s="508"/>
    </row>
    <row r="116" spans="1:44" ht="12.75" hidden="1">
      <c r="A116" s="511" t="s">
        <v>504</v>
      </c>
      <c r="B116" s="525"/>
      <c r="C116" s="525"/>
      <c r="D116" s="512"/>
      <c r="E116" s="525"/>
      <c r="F116" s="525"/>
      <c r="G116" s="512"/>
      <c r="H116" s="525"/>
      <c r="I116" s="525"/>
      <c r="J116" s="512"/>
      <c r="K116" s="509"/>
      <c r="L116" s="518"/>
      <c r="M116" s="511"/>
      <c r="N116" s="521"/>
      <c r="O116" s="521"/>
      <c r="P116" s="521"/>
      <c r="Q116" s="513"/>
      <c r="R116" s="521"/>
      <c r="S116" s="512"/>
      <c r="T116" s="525"/>
      <c r="U116" s="532"/>
      <c r="V116" s="512"/>
      <c r="W116" s="525"/>
      <c r="X116" s="525"/>
      <c r="Y116" s="540"/>
      <c r="Z116" s="532"/>
      <c r="AA116" s="532"/>
      <c r="AB116" s="512"/>
      <c r="AC116" s="540"/>
      <c r="AD116" s="517"/>
      <c r="AE116" s="518"/>
      <c r="AF116" s="518"/>
      <c r="AG116" s="518"/>
      <c r="AH116" s="518"/>
      <c r="AI116" s="518"/>
      <c r="AJ116" s="621"/>
      <c r="AK116" s="508"/>
      <c r="AL116" s="563"/>
      <c r="AM116" s="508"/>
      <c r="AN116" s="508"/>
      <c r="AO116" s="508"/>
      <c r="AP116" s="508"/>
      <c r="AR116" s="508"/>
    </row>
    <row r="117" spans="1:44" ht="12.75" hidden="1">
      <c r="A117" s="511" t="s">
        <v>505</v>
      </c>
      <c r="B117" s="525"/>
      <c r="C117" s="525"/>
      <c r="D117" s="512"/>
      <c r="E117" s="525"/>
      <c r="F117" s="525"/>
      <c r="G117" s="512"/>
      <c r="H117" s="525"/>
      <c r="I117" s="525"/>
      <c r="J117" s="512"/>
      <c r="K117" s="509"/>
      <c r="L117" s="518"/>
      <c r="M117" s="511"/>
      <c r="N117" s="521"/>
      <c r="O117" s="521"/>
      <c r="P117" s="521"/>
      <c r="Q117" s="513"/>
      <c r="R117" s="521"/>
      <c r="S117" s="512"/>
      <c r="T117" s="525"/>
      <c r="U117" s="532"/>
      <c r="V117" s="512"/>
      <c r="W117" s="525"/>
      <c r="X117" s="525"/>
      <c r="Y117" s="540"/>
      <c r="Z117" s="532"/>
      <c r="AA117" s="532"/>
      <c r="AB117" s="512"/>
      <c r="AC117" s="540"/>
      <c r="AD117" s="517"/>
      <c r="AE117" s="518"/>
      <c r="AF117" s="518"/>
      <c r="AG117" s="518"/>
      <c r="AH117" s="518"/>
      <c r="AI117" s="518"/>
      <c r="AJ117" s="621"/>
      <c r="AK117" s="508"/>
      <c r="AL117" s="563"/>
      <c r="AM117" s="508"/>
      <c r="AN117" s="508"/>
      <c r="AO117" s="508"/>
      <c r="AP117" s="508"/>
      <c r="AR117" s="508"/>
    </row>
    <row r="118" spans="1:44" ht="12.75" hidden="1">
      <c r="A118" s="511" t="s">
        <v>506</v>
      </c>
      <c r="B118" s="525"/>
      <c r="C118" s="525"/>
      <c r="D118" s="512"/>
      <c r="E118" s="525"/>
      <c r="F118" s="525"/>
      <c r="G118" s="512"/>
      <c r="H118" s="525"/>
      <c r="I118" s="525"/>
      <c r="J118" s="512"/>
      <c r="K118" s="509"/>
      <c r="L118" s="518"/>
      <c r="M118" s="511"/>
      <c r="N118" s="521"/>
      <c r="O118" s="521"/>
      <c r="P118" s="521"/>
      <c r="Q118" s="513"/>
      <c r="R118" s="521"/>
      <c r="S118" s="512"/>
      <c r="T118" s="525"/>
      <c r="U118" s="532"/>
      <c r="V118" s="512"/>
      <c r="W118" s="525"/>
      <c r="X118" s="525"/>
      <c r="Y118" s="540"/>
      <c r="Z118" s="532"/>
      <c r="AA118" s="532"/>
      <c r="AB118" s="512"/>
      <c r="AC118" s="540"/>
      <c r="AD118" s="517"/>
      <c r="AE118" s="518"/>
      <c r="AF118" s="518"/>
      <c r="AG118" s="518"/>
      <c r="AH118" s="518"/>
      <c r="AI118" s="518"/>
      <c r="AJ118" s="621"/>
      <c r="AK118" s="508"/>
      <c r="AL118" s="563"/>
      <c r="AM118" s="508"/>
      <c r="AN118" s="508"/>
      <c r="AO118" s="508"/>
      <c r="AP118" s="508"/>
      <c r="AR118" s="508"/>
    </row>
    <row r="119" spans="1:44" ht="12.75" hidden="1">
      <c r="A119" s="511" t="s">
        <v>507</v>
      </c>
      <c r="B119" s="525"/>
      <c r="C119" s="525"/>
      <c r="D119" s="512"/>
      <c r="E119" s="525"/>
      <c r="F119" s="525"/>
      <c r="G119" s="512"/>
      <c r="H119" s="525"/>
      <c r="I119" s="525"/>
      <c r="J119" s="512"/>
      <c r="K119" s="509"/>
      <c r="L119" s="518"/>
      <c r="M119" s="511"/>
      <c r="N119" s="521"/>
      <c r="O119" s="521"/>
      <c r="P119" s="521"/>
      <c r="Q119" s="513"/>
      <c r="R119" s="521"/>
      <c r="S119" s="512"/>
      <c r="T119" s="525"/>
      <c r="U119" s="532"/>
      <c r="V119" s="512"/>
      <c r="W119" s="525"/>
      <c r="X119" s="525"/>
      <c r="Y119" s="540"/>
      <c r="Z119" s="532"/>
      <c r="AA119" s="532"/>
      <c r="AB119" s="512"/>
      <c r="AC119" s="540"/>
      <c r="AD119" s="517"/>
      <c r="AE119" s="518"/>
      <c r="AF119" s="518"/>
      <c r="AG119" s="518"/>
      <c r="AH119" s="518"/>
      <c r="AI119" s="518"/>
      <c r="AJ119" s="621"/>
      <c r="AK119" s="508"/>
      <c r="AL119" s="563"/>
      <c r="AM119" s="508"/>
      <c r="AN119" s="508"/>
      <c r="AO119" s="508"/>
      <c r="AP119" s="508"/>
      <c r="AR119" s="508"/>
    </row>
    <row r="120" spans="1:44" ht="12.75" hidden="1">
      <c r="A120" s="511" t="s">
        <v>508</v>
      </c>
      <c r="B120" s="525"/>
      <c r="C120" s="525"/>
      <c r="D120" s="512"/>
      <c r="E120" s="525"/>
      <c r="F120" s="525"/>
      <c r="G120" s="512"/>
      <c r="H120" s="525"/>
      <c r="I120" s="525"/>
      <c r="J120" s="512"/>
      <c r="K120" s="509"/>
      <c r="L120" s="518"/>
      <c r="M120" s="511"/>
      <c r="N120" s="521"/>
      <c r="O120" s="521"/>
      <c r="P120" s="521"/>
      <c r="Q120" s="513"/>
      <c r="R120" s="521"/>
      <c r="S120" s="512"/>
      <c r="T120" s="525"/>
      <c r="U120" s="532"/>
      <c r="V120" s="512"/>
      <c r="W120" s="525"/>
      <c r="X120" s="525"/>
      <c r="Y120" s="540"/>
      <c r="Z120" s="532"/>
      <c r="AA120" s="532"/>
      <c r="AB120" s="512"/>
      <c r="AC120" s="540"/>
      <c r="AD120" s="517"/>
      <c r="AE120" s="518"/>
      <c r="AF120" s="518"/>
      <c r="AG120" s="518"/>
      <c r="AH120" s="518"/>
      <c r="AI120" s="518"/>
      <c r="AJ120" s="621"/>
      <c r="AK120" s="508"/>
      <c r="AL120" s="563"/>
      <c r="AM120" s="508"/>
      <c r="AN120" s="508"/>
      <c r="AO120" s="508"/>
      <c r="AP120" s="508"/>
      <c r="AR120" s="508"/>
    </row>
    <row r="121" spans="1:44" ht="12.75" hidden="1">
      <c r="A121" s="511" t="s">
        <v>509</v>
      </c>
      <c r="B121" s="525"/>
      <c r="C121" s="525"/>
      <c r="D121" s="512"/>
      <c r="E121" s="525"/>
      <c r="F121" s="525"/>
      <c r="G121" s="512"/>
      <c r="H121" s="525"/>
      <c r="I121" s="525"/>
      <c r="J121" s="512"/>
      <c r="K121" s="509"/>
      <c r="L121" s="518"/>
      <c r="M121" s="511"/>
      <c r="N121" s="521"/>
      <c r="O121" s="525"/>
      <c r="P121" s="521"/>
      <c r="Q121" s="513"/>
      <c r="R121" s="521"/>
      <c r="S121" s="512"/>
      <c r="T121" s="525"/>
      <c r="U121" s="532"/>
      <c r="V121" s="512"/>
      <c r="W121" s="525"/>
      <c r="X121" s="525"/>
      <c r="Y121" s="540"/>
      <c r="Z121" s="532"/>
      <c r="AA121" s="532"/>
      <c r="AB121" s="512"/>
      <c r="AC121" s="540"/>
      <c r="AD121" s="517"/>
      <c r="AE121" s="518"/>
      <c r="AF121" s="518"/>
      <c r="AG121" s="518"/>
      <c r="AH121" s="518"/>
      <c r="AI121" s="518"/>
      <c r="AJ121" s="621"/>
      <c r="AK121" s="508"/>
      <c r="AL121" s="563"/>
      <c r="AM121" s="508"/>
      <c r="AN121" s="508"/>
      <c r="AO121" s="508"/>
      <c r="AP121" s="508"/>
      <c r="AR121" s="508"/>
    </row>
    <row r="122" spans="1:44" ht="12.75" hidden="1">
      <c r="A122" s="511" t="s">
        <v>510</v>
      </c>
      <c r="B122" s="525"/>
      <c r="C122" s="525"/>
      <c r="D122" s="512"/>
      <c r="E122" s="525"/>
      <c r="F122" s="525"/>
      <c r="G122" s="512"/>
      <c r="H122" s="525"/>
      <c r="I122" s="525"/>
      <c r="J122" s="512"/>
      <c r="K122" s="509"/>
      <c r="L122" s="518"/>
      <c r="M122" s="511"/>
      <c r="N122" s="525"/>
      <c r="O122" s="525"/>
      <c r="P122" s="525"/>
      <c r="Q122" s="513"/>
      <c r="R122" s="525"/>
      <c r="S122" s="512"/>
      <c r="T122" s="525"/>
      <c r="U122" s="532"/>
      <c r="V122" s="512"/>
      <c r="W122" s="525"/>
      <c r="X122" s="525"/>
      <c r="Y122" s="540"/>
      <c r="Z122" s="532"/>
      <c r="AA122" s="532"/>
      <c r="AB122" s="512"/>
      <c r="AC122" s="540"/>
      <c r="AD122" s="517"/>
      <c r="AE122" s="518"/>
      <c r="AF122" s="518"/>
      <c r="AG122" s="518"/>
      <c r="AH122" s="518"/>
      <c r="AI122" s="518"/>
      <c r="AJ122" s="621"/>
      <c r="AK122" s="508"/>
      <c r="AL122" s="563"/>
      <c r="AM122" s="508"/>
      <c r="AN122" s="508"/>
      <c r="AO122" s="508"/>
      <c r="AP122" s="508"/>
      <c r="AR122" s="508"/>
    </row>
    <row r="123" spans="1:44" ht="12.75" hidden="1">
      <c r="A123" s="511" t="s">
        <v>511</v>
      </c>
      <c r="B123" s="525"/>
      <c r="C123" s="525"/>
      <c r="D123" s="512"/>
      <c r="E123" s="525"/>
      <c r="F123" s="525"/>
      <c r="G123" s="512"/>
      <c r="H123" s="525"/>
      <c r="I123" s="525"/>
      <c r="J123" s="512"/>
      <c r="K123" s="509"/>
      <c r="L123" s="518"/>
      <c r="M123" s="511"/>
      <c r="N123" s="525"/>
      <c r="O123" s="525"/>
      <c r="P123" s="525"/>
      <c r="Q123" s="513"/>
      <c r="R123" s="525"/>
      <c r="S123" s="512"/>
      <c r="T123" s="525"/>
      <c r="U123" s="532"/>
      <c r="V123" s="512"/>
      <c r="W123" s="525"/>
      <c r="X123" s="525"/>
      <c r="Y123" s="540"/>
      <c r="Z123" s="532"/>
      <c r="AA123" s="532"/>
      <c r="AB123" s="512"/>
      <c r="AC123" s="540"/>
      <c r="AD123" s="517"/>
      <c r="AE123" s="518"/>
      <c r="AF123" s="518"/>
      <c r="AG123" s="518"/>
      <c r="AH123" s="518"/>
      <c r="AI123" s="518"/>
      <c r="AJ123" s="621"/>
      <c r="AK123" s="508"/>
      <c r="AL123" s="563"/>
      <c r="AM123" s="508"/>
      <c r="AN123" s="508"/>
      <c r="AO123" s="508"/>
      <c r="AP123" s="508"/>
      <c r="AR123" s="508"/>
    </row>
    <row r="124" spans="1:44" ht="12.75" hidden="1">
      <c r="A124" s="511" t="s">
        <v>512</v>
      </c>
      <c r="B124" s="525"/>
      <c r="C124" s="525"/>
      <c r="D124" s="512"/>
      <c r="E124" s="525"/>
      <c r="F124" s="525"/>
      <c r="G124" s="512"/>
      <c r="H124" s="525"/>
      <c r="I124" s="525"/>
      <c r="J124" s="512"/>
      <c r="K124" s="509"/>
      <c r="L124" s="518"/>
      <c r="M124" s="511"/>
      <c r="N124" s="525"/>
      <c r="O124" s="525"/>
      <c r="P124" s="525"/>
      <c r="Q124" s="513"/>
      <c r="R124" s="525"/>
      <c r="S124" s="512"/>
      <c r="T124" s="525"/>
      <c r="U124" s="532"/>
      <c r="V124" s="512"/>
      <c r="W124" s="525"/>
      <c r="X124" s="525"/>
      <c r="Y124" s="540"/>
      <c r="Z124" s="532"/>
      <c r="AA124" s="532"/>
      <c r="AB124" s="512"/>
      <c r="AC124" s="540"/>
      <c r="AD124" s="517"/>
      <c r="AE124" s="518"/>
      <c r="AF124" s="518"/>
      <c r="AG124" s="518"/>
      <c r="AH124" s="518"/>
      <c r="AI124" s="518"/>
      <c r="AJ124" s="621"/>
      <c r="AK124" s="508"/>
      <c r="AL124" s="563"/>
      <c r="AM124" s="508"/>
      <c r="AN124" s="508"/>
      <c r="AO124" s="508"/>
      <c r="AP124" s="508"/>
      <c r="AR124" s="508"/>
    </row>
    <row r="125" spans="1:44" ht="12.75" hidden="1">
      <c r="A125" s="511" t="s">
        <v>513</v>
      </c>
      <c r="B125" s="525"/>
      <c r="C125" s="525"/>
      <c r="D125" s="512"/>
      <c r="E125" s="525"/>
      <c r="F125" s="525"/>
      <c r="G125" s="512"/>
      <c r="H125" s="525"/>
      <c r="I125" s="525"/>
      <c r="J125" s="512"/>
      <c r="K125" s="509"/>
      <c r="L125" s="518"/>
      <c r="M125" s="511"/>
      <c r="N125" s="525"/>
      <c r="O125" s="525"/>
      <c r="P125" s="525"/>
      <c r="Q125" s="513"/>
      <c r="R125" s="525"/>
      <c r="S125" s="512"/>
      <c r="T125" s="525"/>
      <c r="U125" s="532"/>
      <c r="V125" s="512"/>
      <c r="W125" s="525"/>
      <c r="X125" s="525"/>
      <c r="Y125" s="540"/>
      <c r="Z125" s="532"/>
      <c r="AA125" s="532"/>
      <c r="AB125" s="512"/>
      <c r="AC125" s="540"/>
      <c r="AD125" s="517"/>
      <c r="AE125" s="518"/>
      <c r="AF125" s="518"/>
      <c r="AG125" s="518"/>
      <c r="AH125" s="518"/>
      <c r="AI125" s="518"/>
      <c r="AJ125" s="621"/>
      <c r="AK125" s="508"/>
      <c r="AL125" s="563"/>
      <c r="AM125" s="508"/>
      <c r="AN125" s="508"/>
      <c r="AO125" s="508"/>
      <c r="AP125" s="508"/>
      <c r="AR125" s="508"/>
    </row>
    <row r="126" spans="1:44" ht="12.75" hidden="1">
      <c r="A126" s="511" t="s">
        <v>514</v>
      </c>
      <c r="B126" s="525"/>
      <c r="C126" s="525"/>
      <c r="D126" s="512"/>
      <c r="E126" s="525"/>
      <c r="F126" s="525"/>
      <c r="G126" s="512"/>
      <c r="H126" s="525"/>
      <c r="I126" s="525"/>
      <c r="J126" s="512"/>
      <c r="K126" s="509"/>
      <c r="L126" s="518"/>
      <c r="M126" s="511"/>
      <c r="N126" s="525"/>
      <c r="O126" s="525"/>
      <c r="P126" s="525"/>
      <c r="Q126" s="513"/>
      <c r="R126" s="525"/>
      <c r="S126" s="512"/>
      <c r="T126" s="525"/>
      <c r="U126" s="532"/>
      <c r="V126" s="512"/>
      <c r="W126" s="525"/>
      <c r="X126" s="525"/>
      <c r="Y126" s="540"/>
      <c r="Z126" s="532"/>
      <c r="AA126" s="532"/>
      <c r="AB126" s="512"/>
      <c r="AC126" s="540"/>
      <c r="AD126" s="517"/>
      <c r="AE126" s="518"/>
      <c r="AF126" s="518"/>
      <c r="AG126" s="518"/>
      <c r="AH126" s="518"/>
      <c r="AI126" s="518"/>
      <c r="AJ126" s="621"/>
      <c r="AK126" s="508"/>
      <c r="AL126" s="563"/>
      <c r="AM126" s="508"/>
      <c r="AN126" s="508"/>
      <c r="AO126" s="508"/>
      <c r="AP126" s="508"/>
      <c r="AR126" s="508"/>
    </row>
    <row r="127" spans="1:44" ht="12.75" hidden="1">
      <c r="A127" s="511" t="s">
        <v>515</v>
      </c>
      <c r="B127" s="525"/>
      <c r="C127" s="525"/>
      <c r="D127" s="512"/>
      <c r="E127" s="525"/>
      <c r="F127" s="525"/>
      <c r="G127" s="512"/>
      <c r="H127" s="525"/>
      <c r="I127" s="525"/>
      <c r="J127" s="512"/>
      <c r="K127" s="509"/>
      <c r="L127" s="518"/>
      <c r="M127" s="511"/>
      <c r="N127" s="525"/>
      <c r="O127" s="525"/>
      <c r="P127" s="525"/>
      <c r="Q127" s="513"/>
      <c r="R127" s="525"/>
      <c r="S127" s="512"/>
      <c r="T127" s="525"/>
      <c r="U127" s="532"/>
      <c r="V127" s="512"/>
      <c r="W127" s="525"/>
      <c r="X127" s="525"/>
      <c r="Y127" s="540"/>
      <c r="Z127" s="532"/>
      <c r="AA127" s="532"/>
      <c r="AB127" s="512"/>
      <c r="AC127" s="540"/>
      <c r="AD127" s="517"/>
      <c r="AE127" s="518"/>
      <c r="AF127" s="518"/>
      <c r="AG127" s="518"/>
      <c r="AH127" s="518"/>
      <c r="AI127" s="518"/>
      <c r="AJ127" s="621"/>
      <c r="AK127" s="508"/>
      <c r="AL127" s="563"/>
      <c r="AM127" s="508"/>
      <c r="AN127" s="508"/>
      <c r="AO127" s="508"/>
      <c r="AP127" s="508"/>
      <c r="AR127" s="508"/>
    </row>
    <row r="128" spans="1:44" ht="12.75" hidden="1">
      <c r="A128" s="511" t="s">
        <v>516</v>
      </c>
      <c r="B128" s="525"/>
      <c r="C128" s="525"/>
      <c r="D128" s="512"/>
      <c r="E128" s="525"/>
      <c r="F128" s="525"/>
      <c r="G128" s="512"/>
      <c r="H128" s="525"/>
      <c r="I128" s="525"/>
      <c r="J128" s="512"/>
      <c r="K128" s="509"/>
      <c r="L128" s="518"/>
      <c r="M128" s="511"/>
      <c r="N128" s="525"/>
      <c r="O128" s="525"/>
      <c r="P128" s="525"/>
      <c r="Q128" s="513"/>
      <c r="R128" s="525"/>
      <c r="S128" s="512"/>
      <c r="T128" s="525"/>
      <c r="U128" s="532"/>
      <c r="V128" s="512"/>
      <c r="W128" s="525"/>
      <c r="X128" s="525"/>
      <c r="Y128" s="540"/>
      <c r="Z128" s="532"/>
      <c r="AA128" s="532"/>
      <c r="AB128" s="512"/>
      <c r="AC128" s="540"/>
      <c r="AD128" s="517"/>
      <c r="AE128" s="518"/>
      <c r="AF128" s="518"/>
      <c r="AG128" s="518"/>
      <c r="AH128" s="518"/>
      <c r="AI128" s="518"/>
      <c r="AJ128" s="621"/>
      <c r="AK128" s="508"/>
      <c r="AL128" s="563"/>
      <c r="AM128" s="508"/>
      <c r="AN128" s="508"/>
      <c r="AO128" s="508"/>
      <c r="AP128" s="508"/>
      <c r="AR128" s="508"/>
    </row>
    <row r="129" spans="1:44" s="536" customFormat="1" ht="12.75" hidden="1">
      <c r="A129" s="515" t="s">
        <v>517</v>
      </c>
      <c r="B129" s="519"/>
      <c r="C129" s="519"/>
      <c r="D129" s="516"/>
      <c r="E129" s="519"/>
      <c r="F129" s="519"/>
      <c r="G129" s="516"/>
      <c r="H129" s="519"/>
      <c r="I129" s="519"/>
      <c r="J129" s="516"/>
      <c r="K129" s="527"/>
      <c r="L129" s="527"/>
      <c r="M129" s="519"/>
      <c r="N129" s="519"/>
      <c r="O129" s="519"/>
      <c r="P129" s="519"/>
      <c r="Q129" s="596"/>
      <c r="R129" s="515"/>
      <c r="S129" s="516"/>
      <c r="T129" s="519"/>
      <c r="U129" s="531"/>
      <c r="V129" s="516"/>
      <c r="W129" s="519"/>
      <c r="X129" s="519"/>
      <c r="Y129" s="530"/>
      <c r="Z129" s="531"/>
      <c r="AA129" s="531"/>
      <c r="AB129" s="516"/>
      <c r="AC129" s="530"/>
      <c r="AD129" s="516"/>
      <c r="AE129" s="527"/>
      <c r="AF129" s="527"/>
      <c r="AG129" s="527"/>
      <c r="AH129" s="527"/>
      <c r="AI129" s="527"/>
      <c r="AJ129" s="623"/>
      <c r="AK129" s="561"/>
      <c r="AL129" s="561"/>
      <c r="AM129" s="561"/>
      <c r="AN129" s="561"/>
      <c r="AO129" s="561"/>
      <c r="AP129" s="561"/>
      <c r="AR129" s="561"/>
    </row>
    <row r="130" spans="1:44" ht="12.75" hidden="1">
      <c r="A130" s="511" t="s">
        <v>518</v>
      </c>
      <c r="B130" s="520"/>
      <c r="C130" s="520"/>
      <c r="D130" s="512"/>
      <c r="E130" s="520"/>
      <c r="F130" s="520"/>
      <c r="G130" s="512"/>
      <c r="H130" s="520"/>
      <c r="I130" s="520"/>
      <c r="J130" s="512"/>
      <c r="K130" s="509"/>
      <c r="L130" s="518"/>
      <c r="M130" s="520"/>
      <c r="N130" s="520"/>
      <c r="O130" s="520"/>
      <c r="P130" s="520"/>
      <c r="Q130" s="513"/>
      <c r="R130" s="511"/>
      <c r="S130" s="512"/>
      <c r="T130" s="520"/>
      <c r="U130" s="532"/>
      <c r="V130" s="512"/>
      <c r="W130" s="520"/>
      <c r="X130" s="520"/>
      <c r="Y130" s="540"/>
      <c r="Z130" s="532"/>
      <c r="AA130" s="532"/>
      <c r="AB130" s="512"/>
      <c r="AC130" s="540"/>
      <c r="AD130" s="517"/>
      <c r="AE130" s="518"/>
      <c r="AF130" s="518"/>
      <c r="AG130" s="518"/>
      <c r="AH130" s="518"/>
      <c r="AI130" s="518"/>
      <c r="AJ130" s="619"/>
      <c r="AK130" s="508"/>
      <c r="AL130" s="563"/>
      <c r="AM130" s="508"/>
      <c r="AN130" s="508"/>
      <c r="AO130" s="508"/>
      <c r="AP130" s="508"/>
      <c r="AR130" s="508"/>
    </row>
    <row r="131" spans="1:44" ht="12.75" hidden="1">
      <c r="A131" s="511" t="s">
        <v>319</v>
      </c>
      <c r="B131" s="520"/>
      <c r="C131" s="520"/>
      <c r="D131" s="512"/>
      <c r="E131" s="520"/>
      <c r="F131" s="520"/>
      <c r="G131" s="512"/>
      <c r="H131" s="520"/>
      <c r="I131" s="520"/>
      <c r="J131" s="512"/>
      <c r="K131" s="509"/>
      <c r="L131" s="518"/>
      <c r="M131" s="520"/>
      <c r="N131" s="520"/>
      <c r="O131" s="520"/>
      <c r="P131" s="520"/>
      <c r="Q131" s="513"/>
      <c r="R131" s="511"/>
      <c r="S131" s="512"/>
      <c r="T131" s="520"/>
      <c r="U131" s="532"/>
      <c r="V131" s="512"/>
      <c r="W131" s="520"/>
      <c r="X131" s="520"/>
      <c r="Y131" s="540"/>
      <c r="Z131" s="532"/>
      <c r="AA131" s="532"/>
      <c r="AB131" s="512"/>
      <c r="AC131" s="540"/>
      <c r="AD131" s="517"/>
      <c r="AE131" s="518"/>
      <c r="AF131" s="518"/>
      <c r="AG131" s="518"/>
      <c r="AH131" s="518"/>
      <c r="AI131" s="518"/>
      <c r="AJ131" s="619"/>
      <c r="AK131" s="508"/>
      <c r="AL131" s="563"/>
      <c r="AM131" s="508"/>
      <c r="AN131" s="508"/>
      <c r="AO131" s="508"/>
      <c r="AP131" s="508"/>
      <c r="AR131" s="508"/>
    </row>
    <row r="132" spans="1:44" ht="12.75" hidden="1">
      <c r="A132" s="511" t="s">
        <v>519</v>
      </c>
      <c r="B132" s="520"/>
      <c r="C132" s="520"/>
      <c r="D132" s="512"/>
      <c r="E132" s="520"/>
      <c r="F132" s="520"/>
      <c r="G132" s="512"/>
      <c r="H132" s="520"/>
      <c r="I132" s="520"/>
      <c r="J132" s="512"/>
      <c r="K132" s="509"/>
      <c r="L132" s="518"/>
      <c r="M132" s="520"/>
      <c r="N132" s="520"/>
      <c r="O132" s="520"/>
      <c r="P132" s="520"/>
      <c r="Q132" s="513"/>
      <c r="R132" s="511"/>
      <c r="S132" s="512"/>
      <c r="T132" s="520"/>
      <c r="U132" s="532"/>
      <c r="V132" s="512"/>
      <c r="W132" s="520"/>
      <c r="X132" s="520"/>
      <c r="Y132" s="540"/>
      <c r="Z132" s="532"/>
      <c r="AA132" s="532"/>
      <c r="AB132" s="512"/>
      <c r="AC132" s="540"/>
      <c r="AD132" s="517"/>
      <c r="AE132" s="518"/>
      <c r="AF132" s="518"/>
      <c r="AG132" s="518"/>
      <c r="AH132" s="518"/>
      <c r="AI132" s="518"/>
      <c r="AJ132" s="619"/>
      <c r="AK132" s="508"/>
      <c r="AL132" s="563"/>
      <c r="AM132" s="508"/>
      <c r="AN132" s="508"/>
      <c r="AO132" s="508"/>
      <c r="AP132" s="508"/>
      <c r="AR132" s="508"/>
    </row>
    <row r="133" spans="1:44" ht="12.75" hidden="1">
      <c r="A133" s="511" t="s">
        <v>520</v>
      </c>
      <c r="B133" s="520"/>
      <c r="C133" s="520"/>
      <c r="D133" s="512"/>
      <c r="E133" s="520"/>
      <c r="F133" s="520"/>
      <c r="G133" s="512"/>
      <c r="H133" s="520"/>
      <c r="I133" s="520"/>
      <c r="J133" s="512"/>
      <c r="K133" s="509"/>
      <c r="L133" s="518"/>
      <c r="M133" s="520"/>
      <c r="N133" s="520"/>
      <c r="O133" s="520"/>
      <c r="P133" s="520"/>
      <c r="Q133" s="513"/>
      <c r="R133" s="511"/>
      <c r="S133" s="512"/>
      <c r="T133" s="520"/>
      <c r="U133" s="532"/>
      <c r="V133" s="512"/>
      <c r="W133" s="520"/>
      <c r="X133" s="520"/>
      <c r="Y133" s="540"/>
      <c r="Z133" s="532"/>
      <c r="AA133" s="532"/>
      <c r="AB133" s="512"/>
      <c r="AC133" s="540"/>
      <c r="AD133" s="517"/>
      <c r="AE133" s="518"/>
      <c r="AF133" s="518"/>
      <c r="AG133" s="518"/>
      <c r="AH133" s="518"/>
      <c r="AI133" s="518"/>
      <c r="AJ133" s="619"/>
      <c r="AK133" s="508"/>
      <c r="AL133" s="563"/>
      <c r="AM133" s="508"/>
      <c r="AN133" s="508"/>
      <c r="AO133" s="508"/>
      <c r="AP133" s="508"/>
      <c r="AR133" s="508"/>
    </row>
    <row r="134" spans="1:44" ht="12.75" hidden="1">
      <c r="A134" s="511" t="s">
        <v>320</v>
      </c>
      <c r="B134" s="520"/>
      <c r="C134" s="520"/>
      <c r="D134" s="512"/>
      <c r="E134" s="520"/>
      <c r="F134" s="520"/>
      <c r="G134" s="512"/>
      <c r="H134" s="520"/>
      <c r="I134" s="520"/>
      <c r="J134" s="512"/>
      <c r="K134" s="509"/>
      <c r="L134" s="518"/>
      <c r="M134" s="520"/>
      <c r="N134" s="520"/>
      <c r="O134" s="520"/>
      <c r="P134" s="520"/>
      <c r="Q134" s="513"/>
      <c r="R134" s="511"/>
      <c r="S134" s="512"/>
      <c r="T134" s="520"/>
      <c r="U134" s="532"/>
      <c r="V134" s="512"/>
      <c r="W134" s="520"/>
      <c r="X134" s="520"/>
      <c r="Y134" s="540"/>
      <c r="Z134" s="532"/>
      <c r="AA134" s="532"/>
      <c r="AB134" s="512"/>
      <c r="AC134" s="540"/>
      <c r="AD134" s="517"/>
      <c r="AE134" s="518"/>
      <c r="AF134" s="518"/>
      <c r="AG134" s="518"/>
      <c r="AH134" s="518"/>
      <c r="AI134" s="518"/>
      <c r="AJ134" s="619"/>
      <c r="AK134" s="508"/>
      <c r="AL134" s="563"/>
      <c r="AM134" s="508"/>
      <c r="AN134" s="508"/>
      <c r="AO134" s="508"/>
      <c r="AP134" s="508"/>
      <c r="AR134" s="508"/>
    </row>
    <row r="135" spans="1:44" ht="12.75" hidden="1">
      <c r="A135" s="511" t="s">
        <v>521</v>
      </c>
      <c r="B135" s="520"/>
      <c r="C135" s="520"/>
      <c r="D135" s="512"/>
      <c r="E135" s="520"/>
      <c r="F135" s="520"/>
      <c r="G135" s="512"/>
      <c r="H135" s="520"/>
      <c r="I135" s="520"/>
      <c r="J135" s="512"/>
      <c r="K135" s="509"/>
      <c r="L135" s="518"/>
      <c r="M135" s="520"/>
      <c r="N135" s="520"/>
      <c r="O135" s="520"/>
      <c r="P135" s="520"/>
      <c r="Q135" s="513"/>
      <c r="R135" s="511"/>
      <c r="S135" s="512"/>
      <c r="T135" s="520"/>
      <c r="U135" s="532"/>
      <c r="V135" s="512"/>
      <c r="W135" s="520"/>
      <c r="X135" s="520"/>
      <c r="Y135" s="540"/>
      <c r="Z135" s="532"/>
      <c r="AA135" s="532"/>
      <c r="AB135" s="512"/>
      <c r="AC135" s="540"/>
      <c r="AD135" s="517"/>
      <c r="AE135" s="518"/>
      <c r="AF135" s="518"/>
      <c r="AG135" s="518"/>
      <c r="AH135" s="518"/>
      <c r="AI135" s="518"/>
      <c r="AJ135" s="619"/>
      <c r="AK135" s="508"/>
      <c r="AL135" s="563"/>
      <c r="AM135" s="508"/>
      <c r="AN135" s="508"/>
      <c r="AO135" s="508"/>
      <c r="AP135" s="508"/>
      <c r="AR135" s="508"/>
    </row>
    <row r="136" spans="1:44" ht="12.75" hidden="1">
      <c r="A136" s="511" t="s">
        <v>522</v>
      </c>
      <c r="B136" s="520"/>
      <c r="C136" s="520"/>
      <c r="D136" s="512"/>
      <c r="E136" s="520"/>
      <c r="F136" s="520"/>
      <c r="G136" s="512"/>
      <c r="H136" s="520"/>
      <c r="I136" s="520"/>
      <c r="J136" s="512"/>
      <c r="K136" s="509"/>
      <c r="L136" s="518"/>
      <c r="M136" s="520"/>
      <c r="N136" s="520"/>
      <c r="O136" s="520"/>
      <c r="P136" s="520"/>
      <c r="Q136" s="513"/>
      <c r="R136" s="511"/>
      <c r="S136" s="512"/>
      <c r="T136" s="520"/>
      <c r="U136" s="532"/>
      <c r="V136" s="512"/>
      <c r="W136" s="520"/>
      <c r="X136" s="520"/>
      <c r="Y136" s="540"/>
      <c r="Z136" s="532"/>
      <c r="AA136" s="532"/>
      <c r="AB136" s="512"/>
      <c r="AC136" s="540"/>
      <c r="AD136" s="517"/>
      <c r="AE136" s="518"/>
      <c r="AF136" s="518"/>
      <c r="AG136" s="518"/>
      <c r="AH136" s="518"/>
      <c r="AI136" s="518"/>
      <c r="AJ136" s="619"/>
      <c r="AK136" s="508"/>
      <c r="AL136" s="563"/>
      <c r="AM136" s="508"/>
      <c r="AN136" s="508"/>
      <c r="AO136" s="508"/>
      <c r="AP136" s="508"/>
      <c r="AR136" s="508"/>
    </row>
    <row r="137" spans="1:44" ht="12.75" hidden="1">
      <c r="A137" s="511" t="s">
        <v>321</v>
      </c>
      <c r="B137" s="520"/>
      <c r="C137" s="520"/>
      <c r="D137" s="512"/>
      <c r="E137" s="520"/>
      <c r="F137" s="520"/>
      <c r="G137" s="512"/>
      <c r="H137" s="520"/>
      <c r="I137" s="520"/>
      <c r="J137" s="512"/>
      <c r="K137" s="509"/>
      <c r="L137" s="518"/>
      <c r="M137" s="520"/>
      <c r="N137" s="520"/>
      <c r="O137" s="520"/>
      <c r="P137" s="520"/>
      <c r="Q137" s="513"/>
      <c r="R137" s="511"/>
      <c r="S137" s="512"/>
      <c r="T137" s="520"/>
      <c r="U137" s="532"/>
      <c r="V137" s="512"/>
      <c r="W137" s="520"/>
      <c r="X137" s="520"/>
      <c r="Y137" s="540"/>
      <c r="Z137" s="532"/>
      <c r="AA137" s="532"/>
      <c r="AB137" s="512"/>
      <c r="AC137" s="540"/>
      <c r="AD137" s="517"/>
      <c r="AE137" s="518"/>
      <c r="AF137" s="518"/>
      <c r="AG137" s="518"/>
      <c r="AH137" s="518"/>
      <c r="AI137" s="518"/>
      <c r="AJ137" s="619"/>
      <c r="AK137" s="508"/>
      <c r="AL137" s="563"/>
      <c r="AM137" s="508"/>
      <c r="AN137" s="508"/>
      <c r="AO137" s="508"/>
      <c r="AP137" s="508"/>
      <c r="AR137" s="508"/>
    </row>
    <row r="138" spans="1:44" ht="12.75" hidden="1">
      <c r="A138" s="511" t="s">
        <v>523</v>
      </c>
      <c r="B138" s="520"/>
      <c r="C138" s="520"/>
      <c r="D138" s="512"/>
      <c r="E138" s="520"/>
      <c r="F138" s="520"/>
      <c r="G138" s="512"/>
      <c r="H138" s="520"/>
      <c r="I138" s="520"/>
      <c r="J138" s="512"/>
      <c r="K138" s="509"/>
      <c r="L138" s="518"/>
      <c r="M138" s="520"/>
      <c r="N138" s="520"/>
      <c r="O138" s="520"/>
      <c r="P138" s="520"/>
      <c r="Q138" s="513"/>
      <c r="R138" s="511"/>
      <c r="S138" s="512"/>
      <c r="T138" s="520"/>
      <c r="U138" s="532"/>
      <c r="V138" s="512"/>
      <c r="W138" s="520"/>
      <c r="X138" s="520"/>
      <c r="Y138" s="540"/>
      <c r="Z138" s="532"/>
      <c r="AA138" s="532"/>
      <c r="AB138" s="512"/>
      <c r="AC138" s="540"/>
      <c r="AD138" s="517"/>
      <c r="AE138" s="518"/>
      <c r="AF138" s="518"/>
      <c r="AG138" s="518"/>
      <c r="AH138" s="518"/>
      <c r="AI138" s="518"/>
      <c r="AJ138" s="619"/>
      <c r="AK138" s="508"/>
      <c r="AL138" s="563"/>
      <c r="AM138" s="508"/>
      <c r="AN138" s="508"/>
      <c r="AO138" s="508"/>
      <c r="AP138" s="508"/>
      <c r="AR138" s="508"/>
    </row>
    <row r="139" spans="1:44" ht="12.75" hidden="1">
      <c r="A139" s="511" t="s">
        <v>524</v>
      </c>
      <c r="B139" s="520"/>
      <c r="C139" s="520"/>
      <c r="D139" s="512"/>
      <c r="E139" s="520"/>
      <c r="F139" s="520"/>
      <c r="G139" s="512"/>
      <c r="H139" s="520"/>
      <c r="I139" s="520"/>
      <c r="J139" s="512"/>
      <c r="K139" s="509"/>
      <c r="L139" s="518"/>
      <c r="M139" s="511"/>
      <c r="N139" s="520"/>
      <c r="O139" s="520"/>
      <c r="P139" s="520"/>
      <c r="Q139" s="513"/>
      <c r="R139" s="511"/>
      <c r="S139" s="512"/>
      <c r="T139" s="520"/>
      <c r="U139" s="532"/>
      <c r="V139" s="512"/>
      <c r="W139" s="520"/>
      <c r="X139" s="520"/>
      <c r="Y139" s="540"/>
      <c r="Z139" s="532"/>
      <c r="AA139" s="532"/>
      <c r="AB139" s="512"/>
      <c r="AC139" s="540"/>
      <c r="AD139" s="517"/>
      <c r="AE139" s="518"/>
      <c r="AF139" s="518"/>
      <c r="AG139" s="518"/>
      <c r="AH139" s="518"/>
      <c r="AI139" s="518"/>
      <c r="AJ139" s="619"/>
      <c r="AK139" s="508"/>
      <c r="AL139" s="563"/>
      <c r="AM139" s="508"/>
      <c r="AN139" s="508"/>
      <c r="AO139" s="508"/>
      <c r="AP139" s="508"/>
      <c r="AR139" s="508"/>
    </row>
    <row r="140" spans="1:44" ht="12.75" hidden="1">
      <c r="A140" s="511" t="s">
        <v>322</v>
      </c>
      <c r="B140" s="520"/>
      <c r="C140" s="520"/>
      <c r="D140" s="512"/>
      <c r="E140" s="520"/>
      <c r="F140" s="520"/>
      <c r="G140" s="512"/>
      <c r="H140" s="520"/>
      <c r="I140" s="520"/>
      <c r="J140" s="512"/>
      <c r="K140" s="509"/>
      <c r="L140" s="518"/>
      <c r="M140" s="511"/>
      <c r="N140" s="520"/>
      <c r="O140" s="520"/>
      <c r="P140" s="520"/>
      <c r="Q140" s="513"/>
      <c r="R140" s="511"/>
      <c r="S140" s="512"/>
      <c r="T140" s="520"/>
      <c r="U140" s="532"/>
      <c r="V140" s="512"/>
      <c r="W140" s="520"/>
      <c r="X140" s="520"/>
      <c r="Y140" s="540"/>
      <c r="Z140" s="532"/>
      <c r="AA140" s="532"/>
      <c r="AB140" s="512"/>
      <c r="AC140" s="540"/>
      <c r="AD140" s="517"/>
      <c r="AE140" s="518"/>
      <c r="AF140" s="518"/>
      <c r="AG140" s="518"/>
      <c r="AH140" s="518"/>
      <c r="AI140" s="518"/>
      <c r="AJ140" s="619"/>
      <c r="AK140" s="508"/>
      <c r="AL140" s="563"/>
      <c r="AM140" s="508"/>
      <c r="AN140" s="508"/>
      <c r="AO140" s="508"/>
      <c r="AP140" s="508"/>
      <c r="AR140" s="508"/>
    </row>
    <row r="141" spans="1:44" ht="12.75" hidden="1">
      <c r="A141" s="511" t="s">
        <v>525</v>
      </c>
      <c r="B141" s="520"/>
      <c r="C141" s="520"/>
      <c r="D141" s="512"/>
      <c r="E141" s="520"/>
      <c r="F141" s="520"/>
      <c r="G141" s="512"/>
      <c r="H141" s="520"/>
      <c r="I141" s="520"/>
      <c r="J141" s="512"/>
      <c r="K141" s="509"/>
      <c r="L141" s="518"/>
      <c r="M141" s="511"/>
      <c r="N141" s="520"/>
      <c r="O141" s="520"/>
      <c r="P141" s="520"/>
      <c r="Q141" s="513"/>
      <c r="R141" s="511"/>
      <c r="S141" s="512"/>
      <c r="T141" s="520"/>
      <c r="U141" s="532"/>
      <c r="V141" s="512"/>
      <c r="W141" s="520"/>
      <c r="X141" s="520"/>
      <c r="Y141" s="540"/>
      <c r="Z141" s="532"/>
      <c r="AA141" s="532"/>
      <c r="AB141" s="512"/>
      <c r="AC141" s="540"/>
      <c r="AD141" s="517"/>
      <c r="AE141" s="518"/>
      <c r="AF141" s="518"/>
      <c r="AG141" s="518"/>
      <c r="AH141" s="518"/>
      <c r="AI141" s="518"/>
      <c r="AJ141" s="619"/>
      <c r="AK141" s="508"/>
      <c r="AL141" s="563"/>
      <c r="AM141" s="508"/>
      <c r="AN141" s="508"/>
      <c r="AO141" s="508"/>
      <c r="AP141" s="508"/>
      <c r="AR141" s="508"/>
    </row>
    <row r="142" spans="1:44" ht="12.75" hidden="1">
      <c r="A142" s="511" t="s">
        <v>526</v>
      </c>
      <c r="B142" s="520"/>
      <c r="C142" s="520"/>
      <c r="D142" s="512"/>
      <c r="E142" s="520"/>
      <c r="F142" s="520"/>
      <c r="G142" s="512"/>
      <c r="H142" s="520"/>
      <c r="I142" s="520"/>
      <c r="J142" s="512"/>
      <c r="K142" s="509"/>
      <c r="L142" s="518"/>
      <c r="M142" s="511"/>
      <c r="N142" s="520"/>
      <c r="O142" s="520"/>
      <c r="P142" s="520"/>
      <c r="Q142" s="513"/>
      <c r="R142" s="511"/>
      <c r="S142" s="512"/>
      <c r="T142" s="520"/>
      <c r="U142" s="532"/>
      <c r="V142" s="512"/>
      <c r="W142" s="520"/>
      <c r="X142" s="520"/>
      <c r="Y142" s="540"/>
      <c r="Z142" s="532"/>
      <c r="AA142" s="532"/>
      <c r="AB142" s="512"/>
      <c r="AC142" s="540"/>
      <c r="AD142" s="517"/>
      <c r="AE142" s="518"/>
      <c r="AF142" s="518"/>
      <c r="AG142" s="518"/>
      <c r="AH142" s="518"/>
      <c r="AI142" s="518"/>
      <c r="AJ142" s="619"/>
      <c r="AK142" s="508"/>
      <c r="AL142" s="563"/>
      <c r="AM142" s="508"/>
      <c r="AN142" s="508"/>
      <c r="AO142" s="508"/>
      <c r="AP142" s="508"/>
      <c r="AR142" s="508"/>
    </row>
    <row r="143" spans="1:44" ht="12.75" hidden="1">
      <c r="A143" s="511" t="s">
        <v>323</v>
      </c>
      <c r="B143" s="520"/>
      <c r="C143" s="520"/>
      <c r="D143" s="512"/>
      <c r="E143" s="520"/>
      <c r="F143" s="520"/>
      <c r="G143" s="512"/>
      <c r="H143" s="520"/>
      <c r="I143" s="520"/>
      <c r="J143" s="512"/>
      <c r="K143" s="509"/>
      <c r="L143" s="518"/>
      <c r="M143" s="511"/>
      <c r="N143" s="520"/>
      <c r="O143" s="520"/>
      <c r="P143" s="520"/>
      <c r="Q143" s="513"/>
      <c r="R143" s="511"/>
      <c r="S143" s="512"/>
      <c r="T143" s="520"/>
      <c r="U143" s="532"/>
      <c r="V143" s="512"/>
      <c r="W143" s="520"/>
      <c r="X143" s="520"/>
      <c r="Y143" s="540"/>
      <c r="Z143" s="532"/>
      <c r="AA143" s="532"/>
      <c r="AB143" s="512"/>
      <c r="AC143" s="540"/>
      <c r="AD143" s="517"/>
      <c r="AE143" s="518"/>
      <c r="AF143" s="518"/>
      <c r="AG143" s="518"/>
      <c r="AH143" s="518"/>
      <c r="AI143" s="518"/>
      <c r="AJ143" s="619"/>
      <c r="AK143" s="508"/>
      <c r="AL143" s="563"/>
      <c r="AM143" s="508"/>
      <c r="AN143" s="508"/>
      <c r="AO143" s="508"/>
      <c r="AP143" s="508"/>
      <c r="AR143" s="508"/>
    </row>
    <row r="144" spans="1:44" ht="12.75" hidden="1">
      <c r="A144" s="511" t="s">
        <v>527</v>
      </c>
      <c r="B144" s="520"/>
      <c r="C144" s="520"/>
      <c r="D144" s="512"/>
      <c r="E144" s="520"/>
      <c r="F144" s="520"/>
      <c r="G144" s="512"/>
      <c r="H144" s="520"/>
      <c r="I144" s="520"/>
      <c r="J144" s="512"/>
      <c r="K144" s="509"/>
      <c r="L144" s="518"/>
      <c r="M144" s="511"/>
      <c r="N144" s="520"/>
      <c r="O144" s="520"/>
      <c r="P144" s="520"/>
      <c r="Q144" s="513"/>
      <c r="R144" s="511"/>
      <c r="S144" s="512"/>
      <c r="T144" s="520"/>
      <c r="U144" s="532"/>
      <c r="V144" s="512"/>
      <c r="W144" s="520"/>
      <c r="X144" s="520"/>
      <c r="Y144" s="540"/>
      <c r="Z144" s="532"/>
      <c r="AA144" s="532"/>
      <c r="AB144" s="512"/>
      <c r="AC144" s="540"/>
      <c r="AD144" s="517"/>
      <c r="AE144" s="518"/>
      <c r="AF144" s="518"/>
      <c r="AG144" s="518"/>
      <c r="AH144" s="518"/>
      <c r="AI144" s="518"/>
      <c r="AJ144" s="619"/>
      <c r="AK144" s="508"/>
      <c r="AL144" s="563"/>
      <c r="AM144" s="508"/>
      <c r="AN144" s="508"/>
      <c r="AO144" s="508"/>
      <c r="AP144" s="508"/>
      <c r="AR144" s="508"/>
    </row>
    <row r="145" spans="1:44" ht="12.75" hidden="1">
      <c r="A145" s="511" t="s">
        <v>528</v>
      </c>
      <c r="B145" s="520"/>
      <c r="C145" s="520"/>
      <c r="D145" s="512"/>
      <c r="E145" s="520"/>
      <c r="F145" s="520"/>
      <c r="G145" s="512"/>
      <c r="H145" s="520"/>
      <c r="I145" s="520"/>
      <c r="J145" s="512"/>
      <c r="K145" s="509"/>
      <c r="L145" s="518"/>
      <c r="M145" s="511"/>
      <c r="N145" s="520"/>
      <c r="O145" s="520"/>
      <c r="P145" s="520"/>
      <c r="Q145" s="513"/>
      <c r="R145" s="511"/>
      <c r="S145" s="512"/>
      <c r="T145" s="520"/>
      <c r="U145" s="532"/>
      <c r="V145" s="512"/>
      <c r="W145" s="520"/>
      <c r="X145" s="520"/>
      <c r="Y145" s="540"/>
      <c r="Z145" s="532"/>
      <c r="AA145" s="532"/>
      <c r="AB145" s="512"/>
      <c r="AC145" s="540"/>
      <c r="AD145" s="517"/>
      <c r="AE145" s="518"/>
      <c r="AF145" s="518"/>
      <c r="AG145" s="518"/>
      <c r="AH145" s="518"/>
      <c r="AI145" s="518"/>
      <c r="AJ145" s="619"/>
      <c r="AK145" s="508"/>
      <c r="AL145" s="563"/>
      <c r="AM145" s="508"/>
      <c r="AN145" s="508"/>
      <c r="AO145" s="508"/>
      <c r="AP145" s="508"/>
      <c r="AR145" s="508"/>
    </row>
    <row r="146" spans="1:44" ht="12.75" hidden="1">
      <c r="A146" s="511" t="s">
        <v>324</v>
      </c>
      <c r="B146" s="520"/>
      <c r="C146" s="520"/>
      <c r="D146" s="512"/>
      <c r="E146" s="520"/>
      <c r="F146" s="520"/>
      <c r="G146" s="512"/>
      <c r="H146" s="520"/>
      <c r="I146" s="520"/>
      <c r="J146" s="512"/>
      <c r="K146" s="509"/>
      <c r="L146" s="518"/>
      <c r="M146" s="511"/>
      <c r="N146" s="520"/>
      <c r="O146" s="520"/>
      <c r="P146" s="520"/>
      <c r="Q146" s="513"/>
      <c r="R146" s="511"/>
      <c r="S146" s="512"/>
      <c r="T146" s="520"/>
      <c r="U146" s="532"/>
      <c r="V146" s="512"/>
      <c r="W146" s="520"/>
      <c r="X146" s="520"/>
      <c r="Y146" s="540"/>
      <c r="Z146" s="532"/>
      <c r="AA146" s="532"/>
      <c r="AB146" s="512"/>
      <c r="AC146" s="540"/>
      <c r="AD146" s="517"/>
      <c r="AE146" s="518"/>
      <c r="AF146" s="518"/>
      <c r="AG146" s="518"/>
      <c r="AH146" s="518"/>
      <c r="AI146" s="518"/>
      <c r="AJ146" s="619"/>
      <c r="AK146" s="508"/>
      <c r="AL146" s="563"/>
      <c r="AM146" s="508"/>
      <c r="AN146" s="508"/>
      <c r="AO146" s="508"/>
      <c r="AP146" s="508"/>
      <c r="AR146" s="508"/>
    </row>
    <row r="147" spans="1:44" ht="12.75" hidden="1">
      <c r="A147" s="511" t="s">
        <v>529</v>
      </c>
      <c r="B147" s="520"/>
      <c r="C147" s="520"/>
      <c r="D147" s="512"/>
      <c r="E147" s="520"/>
      <c r="F147" s="520"/>
      <c r="G147" s="512"/>
      <c r="H147" s="520"/>
      <c r="I147" s="520"/>
      <c r="J147" s="512"/>
      <c r="K147" s="509"/>
      <c r="L147" s="518"/>
      <c r="M147" s="511"/>
      <c r="N147" s="520"/>
      <c r="O147" s="520"/>
      <c r="P147" s="520"/>
      <c r="Q147" s="513"/>
      <c r="R147" s="511"/>
      <c r="S147" s="512"/>
      <c r="T147" s="520"/>
      <c r="U147" s="532"/>
      <c r="V147" s="512"/>
      <c r="W147" s="520"/>
      <c r="X147" s="520"/>
      <c r="Y147" s="540"/>
      <c r="Z147" s="532"/>
      <c r="AA147" s="532"/>
      <c r="AB147" s="512"/>
      <c r="AC147" s="540"/>
      <c r="AD147" s="517"/>
      <c r="AE147" s="518"/>
      <c r="AF147" s="518"/>
      <c r="AG147" s="518"/>
      <c r="AH147" s="518"/>
      <c r="AI147" s="518"/>
      <c r="AJ147" s="619"/>
      <c r="AK147" s="508"/>
      <c r="AL147" s="563"/>
      <c r="AM147" s="508"/>
      <c r="AN147" s="508"/>
      <c r="AO147" s="508"/>
      <c r="AP147" s="508"/>
      <c r="AR147" s="508"/>
    </row>
    <row r="148" spans="1:44" ht="12.75" hidden="1">
      <c r="A148" s="511" t="s">
        <v>530</v>
      </c>
      <c r="B148" s="520"/>
      <c r="C148" s="520"/>
      <c r="D148" s="512"/>
      <c r="E148" s="520"/>
      <c r="F148" s="520"/>
      <c r="G148" s="512"/>
      <c r="H148" s="520"/>
      <c r="I148" s="520"/>
      <c r="J148" s="512"/>
      <c r="K148" s="509"/>
      <c r="L148" s="518"/>
      <c r="M148" s="511"/>
      <c r="N148" s="520"/>
      <c r="O148" s="520"/>
      <c r="P148" s="520"/>
      <c r="Q148" s="513"/>
      <c r="R148" s="511"/>
      <c r="S148" s="512"/>
      <c r="T148" s="520"/>
      <c r="U148" s="532"/>
      <c r="V148" s="512"/>
      <c r="W148" s="520"/>
      <c r="X148" s="533"/>
      <c r="Y148" s="540"/>
      <c r="Z148" s="532"/>
      <c r="AA148" s="532"/>
      <c r="AB148" s="512"/>
      <c r="AC148" s="540"/>
      <c r="AD148" s="517"/>
      <c r="AE148" s="518"/>
      <c r="AF148" s="518"/>
      <c r="AG148" s="518"/>
      <c r="AH148" s="518"/>
      <c r="AI148" s="518"/>
      <c r="AJ148" s="619"/>
      <c r="AK148" s="508"/>
      <c r="AL148" s="563"/>
      <c r="AM148" s="508"/>
      <c r="AN148" s="508"/>
      <c r="AO148" s="508"/>
      <c r="AP148" s="508"/>
      <c r="AR148" s="508"/>
    </row>
    <row r="149" spans="1:44" ht="12.75" hidden="1">
      <c r="A149" s="511" t="s">
        <v>325</v>
      </c>
      <c r="B149" s="520"/>
      <c r="C149" s="520"/>
      <c r="D149" s="512"/>
      <c r="E149" s="520"/>
      <c r="F149" s="520"/>
      <c r="G149" s="512"/>
      <c r="H149" s="520"/>
      <c r="I149" s="520"/>
      <c r="J149" s="512"/>
      <c r="K149" s="509"/>
      <c r="L149" s="518"/>
      <c r="M149" s="511"/>
      <c r="N149" s="520"/>
      <c r="O149" s="520"/>
      <c r="P149" s="520"/>
      <c r="Q149" s="513"/>
      <c r="R149" s="511"/>
      <c r="S149" s="512"/>
      <c r="T149" s="520"/>
      <c r="U149" s="532"/>
      <c r="V149" s="512"/>
      <c r="W149" s="520"/>
      <c r="X149" s="520"/>
      <c r="Y149" s="540"/>
      <c r="Z149" s="532"/>
      <c r="AA149" s="532"/>
      <c r="AB149" s="512"/>
      <c r="AC149" s="540"/>
      <c r="AD149" s="517"/>
      <c r="AE149" s="518"/>
      <c r="AF149" s="518"/>
      <c r="AG149" s="518"/>
      <c r="AH149" s="518"/>
      <c r="AI149" s="518"/>
      <c r="AJ149" s="619"/>
      <c r="AK149" s="508"/>
      <c r="AL149" s="563"/>
      <c r="AM149" s="508"/>
      <c r="AN149" s="508"/>
      <c r="AO149" s="508"/>
      <c r="AP149" s="508"/>
      <c r="AR149" s="508"/>
    </row>
    <row r="150" spans="1:44" ht="12.75" hidden="1">
      <c r="A150" s="511" t="s">
        <v>531</v>
      </c>
      <c r="B150" s="520"/>
      <c r="C150" s="520"/>
      <c r="D150" s="512"/>
      <c r="E150" s="520"/>
      <c r="F150" s="520"/>
      <c r="G150" s="512"/>
      <c r="H150" s="520"/>
      <c r="I150" s="520"/>
      <c r="J150" s="512"/>
      <c r="K150" s="509"/>
      <c r="L150" s="518"/>
      <c r="M150" s="511"/>
      <c r="N150" s="520"/>
      <c r="O150" s="520"/>
      <c r="P150" s="520"/>
      <c r="Q150" s="513"/>
      <c r="R150" s="511"/>
      <c r="S150" s="512"/>
      <c r="T150" s="520"/>
      <c r="U150" s="532"/>
      <c r="V150" s="512"/>
      <c r="W150" s="520"/>
      <c r="X150" s="520"/>
      <c r="Y150" s="540"/>
      <c r="Z150" s="532"/>
      <c r="AA150" s="532"/>
      <c r="AB150" s="512"/>
      <c r="AC150" s="540"/>
      <c r="AD150" s="517"/>
      <c r="AE150" s="518"/>
      <c r="AF150" s="518"/>
      <c r="AG150" s="518"/>
      <c r="AH150" s="518"/>
      <c r="AI150" s="518"/>
      <c r="AJ150" s="619"/>
      <c r="AK150" s="508"/>
      <c r="AL150" s="563"/>
      <c r="AM150" s="508"/>
      <c r="AN150" s="508"/>
      <c r="AO150" s="508"/>
      <c r="AP150" s="508"/>
      <c r="AR150" s="508"/>
    </row>
    <row r="151" spans="1:44" ht="12.75" hidden="1">
      <c r="A151" s="511" t="s">
        <v>532</v>
      </c>
      <c r="B151" s="520"/>
      <c r="C151" s="520"/>
      <c r="D151" s="512"/>
      <c r="E151" s="520"/>
      <c r="F151" s="520"/>
      <c r="G151" s="512"/>
      <c r="H151" s="520"/>
      <c r="I151" s="520"/>
      <c r="J151" s="512"/>
      <c r="K151" s="509"/>
      <c r="L151" s="518"/>
      <c r="M151" s="511"/>
      <c r="N151" s="520"/>
      <c r="O151" s="520"/>
      <c r="P151" s="520"/>
      <c r="Q151" s="513"/>
      <c r="R151" s="511"/>
      <c r="S151" s="512"/>
      <c r="T151" s="520"/>
      <c r="U151" s="532"/>
      <c r="V151" s="512"/>
      <c r="W151" s="520"/>
      <c r="X151" s="520"/>
      <c r="Y151" s="540"/>
      <c r="Z151" s="532"/>
      <c r="AA151" s="532"/>
      <c r="AB151" s="512"/>
      <c r="AC151" s="540"/>
      <c r="AD151" s="517"/>
      <c r="AE151" s="518"/>
      <c r="AF151" s="518"/>
      <c r="AG151" s="518"/>
      <c r="AH151" s="518"/>
      <c r="AI151" s="518"/>
      <c r="AJ151" s="619"/>
      <c r="AK151" s="508"/>
      <c r="AL151" s="563"/>
      <c r="AM151" s="508"/>
      <c r="AN151" s="508"/>
      <c r="AO151" s="508"/>
      <c r="AP151" s="508"/>
      <c r="AR151" s="508"/>
    </row>
    <row r="152" spans="1:44" ht="12.75" hidden="1">
      <c r="A152" s="511" t="s">
        <v>326</v>
      </c>
      <c r="B152" s="520"/>
      <c r="C152" s="520"/>
      <c r="D152" s="512"/>
      <c r="E152" s="520"/>
      <c r="F152" s="520"/>
      <c r="G152" s="512"/>
      <c r="H152" s="520"/>
      <c r="I152" s="520"/>
      <c r="J152" s="512"/>
      <c r="K152" s="509"/>
      <c r="L152" s="518"/>
      <c r="M152" s="511"/>
      <c r="N152" s="520"/>
      <c r="O152" s="520"/>
      <c r="P152" s="520"/>
      <c r="Q152" s="513"/>
      <c r="R152" s="511"/>
      <c r="S152" s="512"/>
      <c r="T152" s="520"/>
      <c r="U152" s="532"/>
      <c r="V152" s="512"/>
      <c r="W152" s="520"/>
      <c r="X152" s="520"/>
      <c r="Y152" s="540"/>
      <c r="Z152" s="532"/>
      <c r="AA152" s="532"/>
      <c r="AB152" s="512"/>
      <c r="AC152" s="540"/>
      <c r="AD152" s="517"/>
      <c r="AE152" s="518"/>
      <c r="AF152" s="518"/>
      <c r="AG152" s="518"/>
      <c r="AH152" s="518"/>
      <c r="AI152" s="518"/>
      <c r="AJ152" s="619"/>
      <c r="AK152" s="508"/>
      <c r="AL152" s="563"/>
      <c r="AM152" s="508"/>
      <c r="AN152" s="508"/>
      <c r="AO152" s="508"/>
      <c r="AP152" s="508"/>
      <c r="AR152" s="508"/>
    </row>
    <row r="153" spans="1:44" ht="12.75" hidden="1">
      <c r="A153" s="511" t="s">
        <v>533</v>
      </c>
      <c r="B153" s="520"/>
      <c r="C153" s="520"/>
      <c r="D153" s="512"/>
      <c r="E153" s="520"/>
      <c r="F153" s="520"/>
      <c r="G153" s="512"/>
      <c r="H153" s="520"/>
      <c r="I153" s="520"/>
      <c r="J153" s="512"/>
      <c r="K153" s="509"/>
      <c r="L153" s="518"/>
      <c r="M153" s="511"/>
      <c r="N153" s="520"/>
      <c r="O153" s="520"/>
      <c r="P153" s="520"/>
      <c r="Q153" s="513"/>
      <c r="R153" s="511"/>
      <c r="S153" s="512"/>
      <c r="T153" s="520"/>
      <c r="U153" s="532"/>
      <c r="V153" s="512"/>
      <c r="W153" s="520"/>
      <c r="X153" s="520"/>
      <c r="Y153" s="540"/>
      <c r="Z153" s="532"/>
      <c r="AA153" s="532"/>
      <c r="AB153" s="512"/>
      <c r="AC153" s="540"/>
      <c r="AD153" s="517"/>
      <c r="AE153" s="518"/>
      <c r="AF153" s="518"/>
      <c r="AG153" s="518"/>
      <c r="AH153" s="518"/>
      <c r="AI153" s="518"/>
      <c r="AJ153" s="619"/>
      <c r="AK153" s="508"/>
      <c r="AL153" s="563"/>
      <c r="AM153" s="508"/>
      <c r="AN153" s="508"/>
      <c r="AO153" s="508"/>
      <c r="AP153" s="508"/>
      <c r="AR153" s="508"/>
    </row>
    <row r="154" spans="1:44" ht="12.75" hidden="1">
      <c r="A154" s="511" t="s">
        <v>534</v>
      </c>
      <c r="B154" s="520"/>
      <c r="C154" s="520"/>
      <c r="D154" s="512"/>
      <c r="E154" s="520"/>
      <c r="F154" s="520"/>
      <c r="G154" s="512"/>
      <c r="H154" s="520"/>
      <c r="I154" s="520"/>
      <c r="J154" s="512"/>
      <c r="K154" s="509"/>
      <c r="L154" s="518"/>
      <c r="M154" s="511"/>
      <c r="N154" s="520"/>
      <c r="O154" s="520"/>
      <c r="P154" s="520"/>
      <c r="Q154" s="513"/>
      <c r="R154" s="511"/>
      <c r="S154" s="512"/>
      <c r="T154" s="520"/>
      <c r="U154" s="532"/>
      <c r="V154" s="512"/>
      <c r="W154" s="520"/>
      <c r="X154" s="520"/>
      <c r="Y154" s="540"/>
      <c r="Z154" s="532"/>
      <c r="AA154" s="532"/>
      <c r="AB154" s="512"/>
      <c r="AC154" s="540"/>
      <c r="AD154" s="517"/>
      <c r="AE154" s="518"/>
      <c r="AF154" s="518"/>
      <c r="AG154" s="518"/>
      <c r="AH154" s="518"/>
      <c r="AI154" s="518"/>
      <c r="AJ154" s="619"/>
      <c r="AK154" s="508"/>
      <c r="AL154" s="563"/>
      <c r="AM154" s="508"/>
      <c r="AN154" s="508"/>
      <c r="AO154" s="508"/>
      <c r="AP154" s="508"/>
      <c r="AR154" s="508"/>
    </row>
    <row r="155" spans="1:44" ht="12.75" hidden="1">
      <c r="A155" s="511" t="s">
        <v>327</v>
      </c>
      <c r="B155" s="520"/>
      <c r="C155" s="520"/>
      <c r="D155" s="512"/>
      <c r="E155" s="520"/>
      <c r="F155" s="520"/>
      <c r="G155" s="512"/>
      <c r="H155" s="520"/>
      <c r="I155" s="520"/>
      <c r="J155" s="512"/>
      <c r="K155" s="509"/>
      <c r="L155" s="518"/>
      <c r="M155" s="511"/>
      <c r="N155" s="520"/>
      <c r="O155" s="520"/>
      <c r="P155" s="520"/>
      <c r="Q155" s="513"/>
      <c r="R155" s="511"/>
      <c r="S155" s="512"/>
      <c r="T155" s="520"/>
      <c r="U155" s="532"/>
      <c r="V155" s="512"/>
      <c r="W155" s="520"/>
      <c r="X155" s="520"/>
      <c r="Y155" s="540"/>
      <c r="Z155" s="532"/>
      <c r="AA155" s="532"/>
      <c r="AB155" s="512"/>
      <c r="AC155" s="540"/>
      <c r="AD155" s="517"/>
      <c r="AE155" s="518"/>
      <c r="AF155" s="518"/>
      <c r="AG155" s="518"/>
      <c r="AH155" s="518"/>
      <c r="AI155" s="518"/>
      <c r="AJ155" s="619"/>
      <c r="AK155" s="508"/>
      <c r="AL155" s="563"/>
      <c r="AM155" s="508"/>
      <c r="AN155" s="508"/>
      <c r="AO155" s="508"/>
      <c r="AP155" s="508"/>
      <c r="AR155" s="508"/>
    </row>
    <row r="156" spans="1:44" ht="12.75" hidden="1">
      <c r="A156" s="511" t="s">
        <v>535</v>
      </c>
      <c r="B156" s="520"/>
      <c r="C156" s="520"/>
      <c r="D156" s="512"/>
      <c r="E156" s="520"/>
      <c r="F156" s="520"/>
      <c r="G156" s="512"/>
      <c r="H156" s="520"/>
      <c r="I156" s="520"/>
      <c r="J156" s="512"/>
      <c r="K156" s="509"/>
      <c r="L156" s="518"/>
      <c r="M156" s="511"/>
      <c r="N156" s="520"/>
      <c r="O156" s="520"/>
      <c r="P156" s="520"/>
      <c r="Q156" s="513"/>
      <c r="R156" s="511"/>
      <c r="S156" s="512"/>
      <c r="T156" s="520"/>
      <c r="U156" s="532"/>
      <c r="V156" s="512"/>
      <c r="W156" s="520"/>
      <c r="X156" s="520"/>
      <c r="Y156" s="540"/>
      <c r="Z156" s="532"/>
      <c r="AA156" s="532"/>
      <c r="AB156" s="512"/>
      <c r="AC156" s="540"/>
      <c r="AD156" s="517"/>
      <c r="AE156" s="518"/>
      <c r="AF156" s="518"/>
      <c r="AG156" s="518"/>
      <c r="AH156" s="518"/>
      <c r="AI156" s="518"/>
      <c r="AJ156" s="619"/>
      <c r="AK156" s="508"/>
      <c r="AL156" s="563"/>
      <c r="AM156" s="508"/>
      <c r="AN156" s="508"/>
      <c r="AO156" s="508"/>
      <c r="AP156" s="508"/>
      <c r="AR156" s="508"/>
    </row>
    <row r="157" spans="1:44" ht="12.75" hidden="1">
      <c r="A157" s="511" t="s">
        <v>536</v>
      </c>
      <c r="B157" s="520"/>
      <c r="C157" s="520"/>
      <c r="D157" s="512"/>
      <c r="E157" s="520"/>
      <c r="F157" s="520"/>
      <c r="G157" s="512"/>
      <c r="H157" s="520"/>
      <c r="I157" s="520"/>
      <c r="J157" s="512"/>
      <c r="K157" s="509"/>
      <c r="L157" s="518"/>
      <c r="M157" s="511"/>
      <c r="N157" s="520"/>
      <c r="O157" s="520"/>
      <c r="P157" s="520"/>
      <c r="Q157" s="513"/>
      <c r="R157" s="511"/>
      <c r="S157" s="512"/>
      <c r="T157" s="520"/>
      <c r="U157" s="532"/>
      <c r="V157" s="512"/>
      <c r="W157" s="520"/>
      <c r="X157" s="520"/>
      <c r="Y157" s="540"/>
      <c r="Z157" s="532"/>
      <c r="AA157" s="532"/>
      <c r="AB157" s="512"/>
      <c r="AC157" s="540"/>
      <c r="AD157" s="517"/>
      <c r="AE157" s="518"/>
      <c r="AF157" s="518"/>
      <c r="AG157" s="518"/>
      <c r="AH157" s="518"/>
      <c r="AI157" s="518"/>
      <c r="AJ157" s="619"/>
      <c r="AK157" s="508"/>
      <c r="AL157" s="563"/>
      <c r="AM157" s="508"/>
      <c r="AN157" s="508"/>
      <c r="AO157" s="508"/>
      <c r="AP157" s="508"/>
      <c r="AR157" s="508"/>
    </row>
    <row r="158" spans="1:44" ht="12.75" hidden="1">
      <c r="A158" s="511" t="s">
        <v>328</v>
      </c>
      <c r="B158" s="520"/>
      <c r="C158" s="520"/>
      <c r="D158" s="512"/>
      <c r="E158" s="520"/>
      <c r="F158" s="520"/>
      <c r="G158" s="512"/>
      <c r="H158" s="520"/>
      <c r="I158" s="520"/>
      <c r="J158" s="512"/>
      <c r="K158" s="509"/>
      <c r="L158" s="518"/>
      <c r="M158" s="511"/>
      <c r="N158" s="520"/>
      <c r="O158" s="520"/>
      <c r="P158" s="520"/>
      <c r="Q158" s="513"/>
      <c r="R158" s="511"/>
      <c r="S158" s="512"/>
      <c r="T158" s="520"/>
      <c r="U158" s="532"/>
      <c r="V158" s="512"/>
      <c r="W158" s="520"/>
      <c r="X158" s="520"/>
      <c r="Y158" s="540"/>
      <c r="Z158" s="532"/>
      <c r="AA158" s="532"/>
      <c r="AB158" s="512"/>
      <c r="AC158" s="540"/>
      <c r="AD158" s="517"/>
      <c r="AE158" s="518"/>
      <c r="AF158" s="518"/>
      <c r="AG158" s="518"/>
      <c r="AH158" s="518"/>
      <c r="AI158" s="518"/>
      <c r="AJ158" s="619"/>
      <c r="AK158" s="508"/>
      <c r="AL158" s="563"/>
      <c r="AM158" s="508"/>
      <c r="AN158" s="508"/>
      <c r="AO158" s="508"/>
      <c r="AP158" s="508"/>
      <c r="AR158" s="508"/>
    </row>
    <row r="159" spans="1:44" ht="12.75" hidden="1">
      <c r="A159" s="511" t="s">
        <v>537</v>
      </c>
      <c r="B159" s="520"/>
      <c r="C159" s="520"/>
      <c r="D159" s="512"/>
      <c r="E159" s="520"/>
      <c r="F159" s="520"/>
      <c r="G159" s="512"/>
      <c r="H159" s="520"/>
      <c r="I159" s="520"/>
      <c r="J159" s="512"/>
      <c r="K159" s="509"/>
      <c r="L159" s="518"/>
      <c r="M159" s="511"/>
      <c r="N159" s="520"/>
      <c r="O159" s="520"/>
      <c r="P159" s="520"/>
      <c r="Q159" s="513"/>
      <c r="R159" s="511"/>
      <c r="S159" s="512"/>
      <c r="T159" s="520"/>
      <c r="U159" s="532"/>
      <c r="V159" s="512"/>
      <c r="W159" s="520"/>
      <c r="X159" s="520"/>
      <c r="Y159" s="540"/>
      <c r="Z159" s="532"/>
      <c r="AA159" s="532"/>
      <c r="AB159" s="512"/>
      <c r="AC159" s="540"/>
      <c r="AD159" s="517"/>
      <c r="AE159" s="518"/>
      <c r="AF159" s="518"/>
      <c r="AG159" s="518"/>
      <c r="AH159" s="518"/>
      <c r="AI159" s="518"/>
      <c r="AJ159" s="619"/>
      <c r="AK159" s="508"/>
      <c r="AL159" s="563"/>
      <c r="AM159" s="508"/>
      <c r="AN159" s="508"/>
      <c r="AO159" s="508"/>
      <c r="AP159" s="508"/>
      <c r="AR159" s="508"/>
    </row>
    <row r="160" spans="1:44" ht="12.75" hidden="1">
      <c r="A160" s="511" t="s">
        <v>538</v>
      </c>
      <c r="B160" s="520"/>
      <c r="C160" s="520"/>
      <c r="D160" s="512"/>
      <c r="E160" s="520"/>
      <c r="F160" s="520"/>
      <c r="G160" s="512"/>
      <c r="H160" s="520"/>
      <c r="I160" s="520"/>
      <c r="J160" s="512"/>
      <c r="K160" s="509"/>
      <c r="L160" s="518"/>
      <c r="M160" s="511"/>
      <c r="N160" s="520"/>
      <c r="O160" s="520"/>
      <c r="P160" s="520"/>
      <c r="Q160" s="513"/>
      <c r="R160" s="511"/>
      <c r="S160" s="512"/>
      <c r="T160" s="520"/>
      <c r="U160" s="532"/>
      <c r="V160" s="512"/>
      <c r="W160" s="520"/>
      <c r="X160" s="520"/>
      <c r="Y160" s="540"/>
      <c r="Z160" s="532"/>
      <c r="AA160" s="532"/>
      <c r="AB160" s="512"/>
      <c r="AC160" s="540"/>
      <c r="AD160" s="517"/>
      <c r="AE160" s="518"/>
      <c r="AF160" s="518"/>
      <c r="AG160" s="518"/>
      <c r="AH160" s="518"/>
      <c r="AI160" s="518"/>
      <c r="AJ160" s="619"/>
      <c r="AK160" s="508"/>
      <c r="AL160" s="563"/>
      <c r="AM160" s="508"/>
      <c r="AN160" s="508"/>
      <c r="AO160" s="508"/>
      <c r="AP160" s="508"/>
      <c r="AR160" s="508"/>
    </row>
    <row r="161" spans="1:44" ht="12.75" hidden="1">
      <c r="A161" s="511" t="s">
        <v>329</v>
      </c>
      <c r="B161" s="520"/>
      <c r="C161" s="520"/>
      <c r="D161" s="512"/>
      <c r="E161" s="520"/>
      <c r="F161" s="520"/>
      <c r="G161" s="512"/>
      <c r="H161" s="520"/>
      <c r="I161" s="520"/>
      <c r="J161" s="512"/>
      <c r="K161" s="509"/>
      <c r="L161" s="518"/>
      <c r="M161" s="511"/>
      <c r="N161" s="520"/>
      <c r="O161" s="520"/>
      <c r="P161" s="520"/>
      <c r="Q161" s="513"/>
      <c r="R161" s="511"/>
      <c r="S161" s="512"/>
      <c r="T161" s="520"/>
      <c r="U161" s="532"/>
      <c r="V161" s="512"/>
      <c r="W161" s="520"/>
      <c r="X161" s="520"/>
      <c r="Y161" s="540"/>
      <c r="Z161" s="532"/>
      <c r="AA161" s="532"/>
      <c r="AB161" s="512"/>
      <c r="AC161" s="540"/>
      <c r="AD161" s="517"/>
      <c r="AE161" s="518"/>
      <c r="AF161" s="518"/>
      <c r="AG161" s="518"/>
      <c r="AH161" s="518"/>
      <c r="AI161" s="518"/>
      <c r="AJ161" s="619"/>
      <c r="AK161" s="508"/>
      <c r="AL161" s="563"/>
      <c r="AM161" s="508"/>
      <c r="AN161" s="508"/>
      <c r="AO161" s="508"/>
      <c r="AP161" s="508"/>
      <c r="AR161" s="508"/>
    </row>
    <row r="162" spans="1:44" ht="12.75" hidden="1">
      <c r="A162" s="511" t="s">
        <v>539</v>
      </c>
      <c r="B162" s="520"/>
      <c r="C162" s="520"/>
      <c r="D162" s="512"/>
      <c r="E162" s="520"/>
      <c r="F162" s="520"/>
      <c r="G162" s="512"/>
      <c r="H162" s="520"/>
      <c r="I162" s="520"/>
      <c r="J162" s="512"/>
      <c r="K162" s="509"/>
      <c r="L162" s="518"/>
      <c r="M162" s="511"/>
      <c r="N162" s="520"/>
      <c r="O162" s="520"/>
      <c r="P162" s="520"/>
      <c r="Q162" s="513"/>
      <c r="R162" s="511"/>
      <c r="S162" s="512"/>
      <c r="T162" s="520"/>
      <c r="U162" s="532"/>
      <c r="V162" s="512"/>
      <c r="W162" s="520"/>
      <c r="X162" s="520"/>
      <c r="Y162" s="540"/>
      <c r="Z162" s="532"/>
      <c r="AA162" s="532"/>
      <c r="AB162" s="512"/>
      <c r="AC162" s="540"/>
      <c r="AD162" s="517"/>
      <c r="AE162" s="518"/>
      <c r="AF162" s="518"/>
      <c r="AG162" s="518"/>
      <c r="AH162" s="518"/>
      <c r="AI162" s="518"/>
      <c r="AJ162" s="619"/>
      <c r="AK162" s="508"/>
      <c r="AL162" s="563"/>
      <c r="AM162" s="508"/>
      <c r="AN162" s="508"/>
      <c r="AO162" s="508"/>
      <c r="AP162" s="508"/>
      <c r="AR162" s="508"/>
    </row>
    <row r="163" spans="1:44" ht="12.75" hidden="1">
      <c r="A163" s="511" t="s">
        <v>540</v>
      </c>
      <c r="B163" s="520"/>
      <c r="C163" s="520"/>
      <c r="D163" s="512"/>
      <c r="E163" s="520"/>
      <c r="F163" s="520"/>
      <c r="G163" s="512"/>
      <c r="H163" s="520"/>
      <c r="I163" s="520"/>
      <c r="J163" s="512"/>
      <c r="K163" s="509"/>
      <c r="L163" s="518"/>
      <c r="M163" s="511"/>
      <c r="N163" s="520"/>
      <c r="O163" s="520"/>
      <c r="P163" s="520"/>
      <c r="Q163" s="513"/>
      <c r="R163" s="511"/>
      <c r="S163" s="512"/>
      <c r="T163" s="520"/>
      <c r="U163" s="532"/>
      <c r="V163" s="512"/>
      <c r="W163" s="520"/>
      <c r="X163" s="520"/>
      <c r="Y163" s="540"/>
      <c r="Z163" s="532"/>
      <c r="AA163" s="532"/>
      <c r="AB163" s="512"/>
      <c r="AC163" s="540"/>
      <c r="AD163" s="517"/>
      <c r="AE163" s="518"/>
      <c r="AF163" s="518"/>
      <c r="AG163" s="518"/>
      <c r="AH163" s="518"/>
      <c r="AI163" s="518"/>
      <c r="AJ163" s="619"/>
      <c r="AK163" s="508"/>
      <c r="AL163" s="563"/>
      <c r="AM163" s="508"/>
      <c r="AN163" s="508"/>
      <c r="AO163" s="508"/>
      <c r="AP163" s="508"/>
      <c r="AR163" s="508"/>
    </row>
    <row r="164" spans="1:44" ht="12.75" hidden="1">
      <c r="A164" s="511" t="s">
        <v>330</v>
      </c>
      <c r="B164" s="525"/>
      <c r="C164" s="525"/>
      <c r="D164" s="512"/>
      <c r="E164" s="525"/>
      <c r="F164" s="525"/>
      <c r="G164" s="512"/>
      <c r="H164" s="525"/>
      <c r="I164" s="525"/>
      <c r="J164" s="512"/>
      <c r="K164" s="509"/>
      <c r="L164" s="518"/>
      <c r="M164" s="511"/>
      <c r="N164" s="525"/>
      <c r="O164" s="525"/>
      <c r="P164" s="525"/>
      <c r="Q164" s="513"/>
      <c r="R164" s="525"/>
      <c r="S164" s="512"/>
      <c r="T164" s="525"/>
      <c r="U164" s="525"/>
      <c r="V164" s="512"/>
      <c r="W164" s="525"/>
      <c r="X164" s="525"/>
      <c r="Y164" s="540"/>
      <c r="Z164" s="525"/>
      <c r="AA164" s="525"/>
      <c r="AB164" s="512"/>
      <c r="AC164" s="540"/>
      <c r="AD164" s="517"/>
      <c r="AE164" s="518"/>
      <c r="AF164" s="518"/>
      <c r="AG164" s="518"/>
      <c r="AH164" s="518"/>
      <c r="AI164" s="518"/>
      <c r="AJ164" s="619"/>
      <c r="AK164" s="508"/>
      <c r="AL164" s="563"/>
      <c r="AM164" s="508"/>
      <c r="AN164" s="508"/>
      <c r="AO164" s="508"/>
      <c r="AP164" s="508"/>
      <c r="AR164" s="508"/>
    </row>
    <row r="165" spans="1:44" s="536" customFormat="1" ht="12.75">
      <c r="A165" s="539" t="s">
        <v>550</v>
      </c>
      <c r="B165" s="514"/>
      <c r="C165" s="514"/>
      <c r="D165" s="516"/>
      <c r="E165" s="514"/>
      <c r="F165" s="514"/>
      <c r="G165" s="516"/>
      <c r="H165" s="514"/>
      <c r="I165" s="514"/>
      <c r="J165" s="516"/>
      <c r="K165" s="527"/>
      <c r="L165" s="527"/>
      <c r="M165" s="519"/>
      <c r="N165" s="519"/>
      <c r="O165" s="515"/>
      <c r="P165" s="514"/>
      <c r="Q165" s="596"/>
      <c r="R165" s="515"/>
      <c r="S165" s="516"/>
      <c r="T165" s="526"/>
      <c r="U165" s="526"/>
      <c r="V165" s="516"/>
      <c r="W165" s="526"/>
      <c r="X165" s="514"/>
      <c r="Y165" s="530"/>
      <c r="Z165" s="526"/>
      <c r="AA165" s="514"/>
      <c r="AB165" s="516"/>
      <c r="AC165" s="530"/>
      <c r="AD165" s="516">
        <f aca="true" t="shared" si="15" ref="AD165:AD226">IF(OR(K165="",AC165=""),"",K165+AC165)</f>
      </c>
      <c r="AE165" s="527" t="s">
        <v>110</v>
      </c>
      <c r="AF165" s="527"/>
      <c r="AG165" s="527"/>
      <c r="AH165" s="527"/>
      <c r="AI165" s="527">
        <f aca="true" t="shared" si="16" ref="AI165:AI224">IF(AND(J165&lt;&gt;"",L165&lt;&gt;"",AG165&lt;&gt;""),J165+L165+AG165,"")</f>
      </c>
      <c r="AJ165" s="646" t="s">
        <v>110</v>
      </c>
      <c r="AK165" s="561"/>
      <c r="AL165" s="561" t="s">
        <v>110</v>
      </c>
      <c r="AM165" s="561"/>
      <c r="AN165" s="561"/>
      <c r="AO165" s="561"/>
      <c r="AP165" s="561"/>
      <c r="AR165" s="561">
        <f aca="true" t="shared" si="17" ref="AR165:AR194">IF(AI165&lt;&gt;"",AI165/AJ165,"")</f>
      </c>
    </row>
    <row r="166" spans="1:44" ht="12.75">
      <c r="A166" s="522" t="s">
        <v>551</v>
      </c>
      <c r="B166" s="525">
        <v>52.03</v>
      </c>
      <c r="C166" s="525">
        <v>75.69</v>
      </c>
      <c r="D166" s="512">
        <f>(B166/'Field recov'!B166)+(C166/'Field recov'!C166)</f>
        <v>216.47457627118644</v>
      </c>
      <c r="E166" s="525">
        <v>11.68</v>
      </c>
      <c r="F166" s="525">
        <v>9.336</v>
      </c>
      <c r="G166" s="512">
        <f>(E166/'Field recov'!F166)+(F166/'Field recov'!G166)</f>
        <v>35.62033898305085</v>
      </c>
      <c r="H166" s="525">
        <v>474.5</v>
      </c>
      <c r="I166" s="525">
        <v>7701</v>
      </c>
      <c r="J166" s="512">
        <f>(H166/'Field recov'!J166)+(I166/'Field recov'!K166)</f>
        <v>16847.987288135595</v>
      </c>
      <c r="K166" s="509">
        <f>D166+G166+J166</f>
        <v>17100.082203389833</v>
      </c>
      <c r="L166" s="518">
        <f>(E166/'Field recov'!F166)/2+(F166/'Field recov'!G166)</f>
        <v>25.722033898305085</v>
      </c>
      <c r="M166" s="520"/>
      <c r="N166" s="525" t="s">
        <v>464</v>
      </c>
      <c r="O166" s="525">
        <v>990</v>
      </c>
      <c r="P166" s="525">
        <v>4.775</v>
      </c>
      <c r="Q166" s="513">
        <f>(P166*29)/('Field recov'!V166*2)</f>
        <v>101.81985294117648</v>
      </c>
      <c r="R166" s="525" t="s">
        <v>464</v>
      </c>
      <c r="S166" s="512">
        <f>0.5</f>
        <v>0.5</v>
      </c>
      <c r="T166" s="525" t="s">
        <v>464</v>
      </c>
      <c r="U166" s="525" t="s">
        <v>464</v>
      </c>
      <c r="V166" s="512">
        <f>1+1</f>
        <v>2</v>
      </c>
      <c r="W166" s="525">
        <v>9.924</v>
      </c>
      <c r="X166" s="525">
        <v>12.93</v>
      </c>
      <c r="Y166" s="540">
        <f>(W166/'Field recov'!AG166)+(X166/'Field recov'!AH166)</f>
        <v>28.21481481481481</v>
      </c>
      <c r="Z166" s="525">
        <v>19.12</v>
      </c>
      <c r="AA166" s="525">
        <v>62.74</v>
      </c>
      <c r="AB166" s="512">
        <f>(Z166/'Field recov'!AK166)+(AA166/'Field recov'!AL166)</f>
        <v>101.06172839506172</v>
      </c>
      <c r="AC166" s="540">
        <f>V166+Y166+AB166</f>
        <v>131.27654320987654</v>
      </c>
      <c r="AD166" s="517">
        <f t="shared" si="15"/>
        <v>17231.358746599708</v>
      </c>
      <c r="AE166" s="518">
        <f>IF(OR(M166&lt;&gt;"",N166&lt;&gt;"",O166&lt;&gt;""),SUM(M166/'Field recov'!Q166,0.1/2,O166/'Field recov'!T166),"")</f>
        <v>1222.2722222222221</v>
      </c>
      <c r="AF166" s="518">
        <f aca="true" t="shared" si="18" ref="AF166:AF194">S166</f>
        <v>0.5</v>
      </c>
      <c r="AG166" s="518">
        <f aca="true" t="shared" si="19" ref="AG166:AG210">AC166</f>
        <v>131.27654320987654</v>
      </c>
      <c r="AH166" s="518">
        <f>IF(N166&lt;&gt;"",IF(N166="&lt;LOQ",0.1/2,N166/'Field recov'!R166))</f>
        <v>0.05</v>
      </c>
      <c r="AI166" s="518">
        <f t="shared" si="16"/>
        <v>17004.985865243776</v>
      </c>
      <c r="AJ166" s="647">
        <v>0.207</v>
      </c>
      <c r="AK166" s="508">
        <f>AD166/AJ166</f>
        <v>83243.27896908073</v>
      </c>
      <c r="AL166" s="508">
        <f>AE166/AJ166</f>
        <v>5904.696725711218</v>
      </c>
      <c r="AM166" s="508">
        <f>AF166/AJ166</f>
        <v>2.4154589371980677</v>
      </c>
      <c r="AN166" s="508">
        <f>IF(AG166&lt;&gt;"",AG166/AJ166)</f>
        <v>634.1861990815291</v>
      </c>
      <c r="AO166" s="508">
        <f>AH166/AJ166</f>
        <v>0.24154589371980678</v>
      </c>
      <c r="AP166" s="508">
        <f>Q166/AJ166</f>
        <v>491.8833475419154</v>
      </c>
      <c r="AR166" s="508">
        <f t="shared" si="17"/>
        <v>82149.6901702598</v>
      </c>
    </row>
    <row r="167" spans="1:44" ht="12.75">
      <c r="A167" s="522" t="s">
        <v>552</v>
      </c>
      <c r="B167" s="525"/>
      <c r="C167" s="525"/>
      <c r="D167" s="512"/>
      <c r="E167" s="525"/>
      <c r="F167" s="525"/>
      <c r="G167" s="512"/>
      <c r="H167" s="525"/>
      <c r="I167" s="525"/>
      <c r="J167" s="512"/>
      <c r="K167" s="509"/>
      <c r="L167" s="518"/>
      <c r="M167" s="520"/>
      <c r="N167" s="525"/>
      <c r="O167" s="525"/>
      <c r="P167" s="525"/>
      <c r="Q167" s="513"/>
      <c r="R167" s="525"/>
      <c r="S167" s="512"/>
      <c r="T167" s="525"/>
      <c r="U167" s="525"/>
      <c r="V167" s="512"/>
      <c r="W167" s="525"/>
      <c r="X167" s="525"/>
      <c r="Y167" s="540"/>
      <c r="Z167" s="525"/>
      <c r="AA167" s="525"/>
      <c r="AB167" s="512"/>
      <c r="AC167" s="540"/>
      <c r="AD167" s="517"/>
      <c r="AE167" s="518"/>
      <c r="AF167" s="518"/>
      <c r="AG167" s="518"/>
      <c r="AH167" s="518"/>
      <c r="AI167" s="518">
        <f t="shared" si="16"/>
      </c>
      <c r="AJ167" s="648" t="s">
        <v>110</v>
      </c>
      <c r="AK167" s="508"/>
      <c r="AL167" s="508"/>
      <c r="AM167" s="508"/>
      <c r="AN167" s="508"/>
      <c r="AO167" s="508"/>
      <c r="AP167" s="508"/>
      <c r="AR167" s="508">
        <f t="shared" si="17"/>
      </c>
    </row>
    <row r="168" spans="1:44" ht="12.75">
      <c r="A168" s="522" t="s">
        <v>553</v>
      </c>
      <c r="B168" s="525">
        <v>30.44</v>
      </c>
      <c r="C168" s="525">
        <v>41.82</v>
      </c>
      <c r="D168" s="512">
        <f>(B168/'Field recov'!B168)+(C168/'Field recov'!C168)</f>
        <v>122.47457627118645</v>
      </c>
      <c r="E168" s="525">
        <v>10.87</v>
      </c>
      <c r="F168" s="525">
        <v>20.48</v>
      </c>
      <c r="G168" s="512">
        <f>(E168/'Field recov'!F168)+(F168/'Field recov'!G168)</f>
        <v>53.13559322033898</v>
      </c>
      <c r="H168" s="525">
        <v>203.5</v>
      </c>
      <c r="I168" s="525">
        <v>7736</v>
      </c>
      <c r="J168" s="512">
        <f>(H168/'Field recov'!J168)+(I168/'Field recov'!K168)</f>
        <v>16461.581920903955</v>
      </c>
      <c r="K168" s="509">
        <f>D168+G168+J168</f>
        <v>16637.19209039548</v>
      </c>
      <c r="L168" s="518">
        <f>(E168/'Field recov'!F168)/2+(F168/'Field recov'!G168)</f>
        <v>43.92372881355932</v>
      </c>
      <c r="M168" s="520"/>
      <c r="N168" s="525" t="s">
        <v>464</v>
      </c>
      <c r="O168" s="525">
        <v>747.6</v>
      </c>
      <c r="P168" s="525">
        <v>4.649</v>
      </c>
      <c r="Q168" s="513">
        <f>(P168*29)/('Field recov'!V168*2)</f>
        <v>99.13308823529411</v>
      </c>
      <c r="R168" s="525" t="s">
        <v>464</v>
      </c>
      <c r="S168" s="512">
        <f>0.5</f>
        <v>0.5</v>
      </c>
      <c r="T168" s="525" t="s">
        <v>464</v>
      </c>
      <c r="U168" s="525">
        <v>50.27</v>
      </c>
      <c r="V168" s="512">
        <f>1+(U168/'Field recov'!AD168)</f>
        <v>63.06172839506173</v>
      </c>
      <c r="W168" s="525">
        <v>5.241</v>
      </c>
      <c r="X168" s="525">
        <v>2.421</v>
      </c>
      <c r="Y168" s="540">
        <f>(W168/'Field recov'!AG168)+(X168/'Field recov'!AH168)</f>
        <v>9.459259259259259</v>
      </c>
      <c r="Z168" s="525">
        <v>1.845</v>
      </c>
      <c r="AA168" s="525">
        <v>6.88</v>
      </c>
      <c r="AB168" s="512">
        <f>(Z168/'Field recov'!AK168)+(AA168/'Field recov'!AL168)</f>
        <v>10.771604938271604</v>
      </c>
      <c r="AC168" s="540">
        <f>V168+Y168+AB168</f>
        <v>83.2925925925926</v>
      </c>
      <c r="AD168" s="517">
        <f t="shared" si="15"/>
        <v>16720.484682988073</v>
      </c>
      <c r="AE168" s="518">
        <f>IF(OR(M168&lt;&gt;"",N168&lt;&gt;"",O168&lt;&gt;""),SUM(M168/'Field recov'!Q168,0.1/2,O168/'Field recov'!T168),"")</f>
        <v>923.0129629629629</v>
      </c>
      <c r="AF168" s="518">
        <f t="shared" si="18"/>
        <v>0.5</v>
      </c>
      <c r="AG168" s="518">
        <f t="shared" si="19"/>
        <v>83.2925925925926</v>
      </c>
      <c r="AH168" s="518">
        <f>IF(N168&lt;&gt;"",IF(N168="&lt;LOQ",0.1/2,N168/'Field recov'!R168))</f>
        <v>0.05</v>
      </c>
      <c r="AI168" s="518">
        <f t="shared" si="16"/>
        <v>16588.798242310106</v>
      </c>
      <c r="AJ168" s="647">
        <v>0.18</v>
      </c>
      <c r="AK168" s="508">
        <f>AD168/AJ168</f>
        <v>92891.58157215596</v>
      </c>
      <c r="AL168" s="508">
        <f>AE168/AJ168</f>
        <v>5127.849794238683</v>
      </c>
      <c r="AM168" s="508">
        <f>AF168/AJ168</f>
        <v>2.7777777777777777</v>
      </c>
      <c r="AN168" s="508">
        <f>IF(AG168&lt;&gt;"",AG168/AJ168)</f>
        <v>462.73662551440333</v>
      </c>
      <c r="AO168" s="508">
        <f>AH168/AJ168</f>
        <v>0.2777777777777778</v>
      </c>
      <c r="AP168" s="508">
        <f>Q168/AJ168</f>
        <v>550.7393790849673</v>
      </c>
      <c r="AR168" s="508">
        <f t="shared" si="17"/>
        <v>92159.99023505615</v>
      </c>
    </row>
    <row r="169" spans="1:44" ht="12.75">
      <c r="A169" s="522" t="s">
        <v>554</v>
      </c>
      <c r="B169" s="525"/>
      <c r="C169" s="525"/>
      <c r="D169" s="512"/>
      <c r="E169" s="525"/>
      <c r="F169" s="525"/>
      <c r="G169" s="512"/>
      <c r="H169" s="525"/>
      <c r="I169" s="525"/>
      <c r="J169" s="512"/>
      <c r="K169" s="509"/>
      <c r="L169" s="518"/>
      <c r="M169" s="520"/>
      <c r="N169" s="525"/>
      <c r="O169" s="525"/>
      <c r="P169" s="525"/>
      <c r="Q169" s="513"/>
      <c r="R169" s="525"/>
      <c r="S169" s="512"/>
      <c r="T169" s="525"/>
      <c r="U169" s="525"/>
      <c r="V169" s="512"/>
      <c r="W169" s="525"/>
      <c r="X169" s="525"/>
      <c r="Y169" s="540"/>
      <c r="Z169" s="525"/>
      <c r="AA169" s="525"/>
      <c r="AB169" s="512"/>
      <c r="AC169" s="540"/>
      <c r="AD169" s="517"/>
      <c r="AE169" s="518"/>
      <c r="AF169" s="518"/>
      <c r="AG169" s="518"/>
      <c r="AH169" s="518"/>
      <c r="AI169" s="518">
        <f t="shared" si="16"/>
      </c>
      <c r="AJ169" s="648" t="s">
        <v>110</v>
      </c>
      <c r="AK169" s="508"/>
      <c r="AL169" s="508"/>
      <c r="AM169" s="508"/>
      <c r="AN169" s="508"/>
      <c r="AO169" s="508"/>
      <c r="AP169" s="508"/>
      <c r="AR169" s="508">
        <f t="shared" si="17"/>
      </c>
    </row>
    <row r="170" spans="1:44" ht="12.75">
      <c r="A170" s="522" t="s">
        <v>555</v>
      </c>
      <c r="B170" s="525">
        <v>88.54</v>
      </c>
      <c r="C170" s="525">
        <v>128.2</v>
      </c>
      <c r="D170" s="512">
        <f>(B170/'Field recov'!B170)+(C170/'Field recov'!C170)</f>
        <v>367.35593220338984</v>
      </c>
      <c r="E170" s="525">
        <v>5.845</v>
      </c>
      <c r="F170" s="525">
        <v>97.22</v>
      </c>
      <c r="G170" s="512">
        <f>(E170/'Field recov'!F170)+(F170/'Field recov'!G170)</f>
        <v>174.6864406779661</v>
      </c>
      <c r="H170" s="525">
        <v>168.8</v>
      </c>
      <c r="I170" s="525">
        <v>13070</v>
      </c>
      <c r="J170" s="512">
        <f>(H170/'Field recov'!J170)+(I170/'Field recov'!K170)</f>
        <v>27515.268361581922</v>
      </c>
      <c r="K170" s="509">
        <f>D170+G170+J170</f>
        <v>28057.310734463277</v>
      </c>
      <c r="L170" s="518">
        <f>(E170/'Field recov'!F170)/2+(F170/'Field recov'!G170)</f>
        <v>169.73305084745763</v>
      </c>
      <c r="M170" s="520"/>
      <c r="N170" s="525" t="s">
        <v>464</v>
      </c>
      <c r="O170" s="525">
        <v>763.29</v>
      </c>
      <c r="P170" s="525">
        <v>2.717</v>
      </c>
      <c r="Q170" s="513">
        <f>(P170*29)/('Field recov'!V170*2)</f>
        <v>57.93602941176471</v>
      </c>
      <c r="R170" s="525" t="s">
        <v>464</v>
      </c>
      <c r="S170" s="512">
        <f>0.5</f>
        <v>0.5</v>
      </c>
      <c r="T170" s="525" t="s">
        <v>464</v>
      </c>
      <c r="U170" s="525" t="s">
        <v>464</v>
      </c>
      <c r="V170" s="512">
        <f>1+1</f>
        <v>2</v>
      </c>
      <c r="W170" s="525">
        <v>2.231</v>
      </c>
      <c r="X170" s="525" t="s">
        <v>464</v>
      </c>
      <c r="Y170" s="540">
        <f>(W170/'Field recov'!AG170)+1</f>
        <v>3.7543209876543204</v>
      </c>
      <c r="Z170" s="525">
        <v>2.819</v>
      </c>
      <c r="AA170" s="525">
        <v>12.28</v>
      </c>
      <c r="AB170" s="512">
        <f>(Z170/'Field recov'!AK170)+(AA170/'Field recov'!AL170)</f>
        <v>18.64074074074074</v>
      </c>
      <c r="AC170" s="540">
        <f>V170+Y170+AB170</f>
        <v>24.39506172839506</v>
      </c>
      <c r="AD170" s="517">
        <f t="shared" si="15"/>
        <v>28081.705796191673</v>
      </c>
      <c r="AE170" s="518">
        <f>IF(OR(M170&lt;&gt;"",N170&lt;&gt;"",O170&lt;&gt;""),SUM(M170/'Field recov'!Q170,0.1/2,O170/'Field recov'!T170),"")</f>
        <v>942.3833333333332</v>
      </c>
      <c r="AF170" s="518">
        <f t="shared" si="18"/>
        <v>0.5</v>
      </c>
      <c r="AG170" s="518">
        <f t="shared" si="19"/>
        <v>24.39506172839506</v>
      </c>
      <c r="AH170" s="518">
        <f>IF(N170&lt;&gt;"",IF(N170="&lt;LOQ",0.1/2,N170/'Field recov'!R170))</f>
        <v>0.05</v>
      </c>
      <c r="AI170" s="518">
        <f t="shared" si="16"/>
        <v>27709.396474157777</v>
      </c>
      <c r="AJ170" s="647">
        <v>0.255</v>
      </c>
      <c r="AK170" s="508">
        <f>AD170/AJ170</f>
        <v>110124.33645565361</v>
      </c>
      <c r="AL170" s="508">
        <f>AE170/AJ170</f>
        <v>3695.620915032679</v>
      </c>
      <c r="AM170" s="508">
        <f>AF170/AJ170</f>
        <v>1.9607843137254901</v>
      </c>
      <c r="AN170" s="508">
        <f>IF(AG170&lt;&gt;"",AG170/AJ170)</f>
        <v>95.66690873880415</v>
      </c>
      <c r="AO170" s="508">
        <f>AH170/AJ170</f>
        <v>0.19607843137254902</v>
      </c>
      <c r="AP170" s="508">
        <f>Q170/AJ170</f>
        <v>227.20011534025375</v>
      </c>
      <c r="AR170" s="508">
        <f t="shared" si="17"/>
        <v>108664.29989865795</v>
      </c>
    </row>
    <row r="171" spans="1:44" ht="12.75">
      <c r="A171" s="522" t="s">
        <v>556</v>
      </c>
      <c r="B171" s="525"/>
      <c r="C171" s="525"/>
      <c r="D171" s="512"/>
      <c r="E171" s="525"/>
      <c r="F171" s="525"/>
      <c r="G171" s="512"/>
      <c r="H171" s="525"/>
      <c r="I171" s="525"/>
      <c r="J171" s="512"/>
      <c r="K171" s="509"/>
      <c r="L171" s="518"/>
      <c r="M171" s="520"/>
      <c r="N171" s="525"/>
      <c r="O171" s="525"/>
      <c r="P171" s="525"/>
      <c r="Q171" s="513"/>
      <c r="R171" s="525"/>
      <c r="S171" s="512"/>
      <c r="T171" s="525"/>
      <c r="U171" s="525"/>
      <c r="V171" s="512"/>
      <c r="W171" s="525"/>
      <c r="X171" s="525"/>
      <c r="Y171" s="540"/>
      <c r="Z171" s="525"/>
      <c r="AA171" s="525"/>
      <c r="AB171" s="512"/>
      <c r="AC171" s="540"/>
      <c r="AD171" s="517"/>
      <c r="AE171" s="518"/>
      <c r="AF171" s="518"/>
      <c r="AG171" s="518"/>
      <c r="AH171" s="518"/>
      <c r="AI171" s="518">
        <f t="shared" si="16"/>
      </c>
      <c r="AJ171" s="648" t="s">
        <v>110</v>
      </c>
      <c r="AK171" s="508"/>
      <c r="AL171" s="508"/>
      <c r="AM171" s="508"/>
      <c r="AN171" s="508"/>
      <c r="AO171" s="508"/>
      <c r="AP171" s="508"/>
      <c r="AR171" s="508">
        <f t="shared" si="17"/>
      </c>
    </row>
    <row r="172" spans="1:44" ht="12.75">
      <c r="A172" s="522" t="s">
        <v>557</v>
      </c>
      <c r="B172" s="525">
        <v>9465</v>
      </c>
      <c r="C172" s="525">
        <v>150</v>
      </c>
      <c r="D172" s="512">
        <f>(B172/'Field recov'!B172)+(C172/'Field recov'!C172)</f>
        <v>19972.987288135595</v>
      </c>
      <c r="E172" s="525">
        <v>23.12</v>
      </c>
      <c r="F172" s="525">
        <v>67.74</v>
      </c>
      <c r="G172" s="512">
        <f>(E172/'Field recov'!F172)+(F172/'Field recov'!G172)</f>
        <v>154</v>
      </c>
      <c r="H172" s="525">
        <v>345.4</v>
      </c>
      <c r="I172" s="525">
        <v>233</v>
      </c>
      <c r="J172" s="512">
        <f>(H172/'Field recov'!J172)+(I172/'Field recov'!K172)</f>
        <v>980.3389830508474</v>
      </c>
      <c r="K172" s="509">
        <f>D172+G172+J172</f>
        <v>21107.32627118644</v>
      </c>
      <c r="L172" s="518">
        <f>(E172/'Field recov'!F172)/2+(F172/'Field recov'!G172)</f>
        <v>134.40677966101694</v>
      </c>
      <c r="M172" s="520"/>
      <c r="N172" s="525" t="s">
        <v>464</v>
      </c>
      <c r="O172" s="525">
        <v>1349.26</v>
      </c>
      <c r="P172" s="525">
        <v>0.638</v>
      </c>
      <c r="Q172" s="513">
        <f>(P172*29)/('Field recov'!V172*2)</f>
        <v>13.60441176470588</v>
      </c>
      <c r="R172" s="525" t="s">
        <v>464</v>
      </c>
      <c r="S172" s="512">
        <f>0.5</f>
        <v>0.5</v>
      </c>
      <c r="T172" s="525" t="s">
        <v>464</v>
      </c>
      <c r="U172" s="525" t="s">
        <v>464</v>
      </c>
      <c r="V172" s="512">
        <f>1+1</f>
        <v>2</v>
      </c>
      <c r="W172" s="525">
        <v>1.38</v>
      </c>
      <c r="X172" s="525">
        <v>1.415</v>
      </c>
      <c r="Y172" s="540">
        <f>(W172/'Field recov'!AG172)+(X172/'Field recov'!AH172)</f>
        <v>3.450617283950617</v>
      </c>
      <c r="Z172" s="525">
        <v>3.668</v>
      </c>
      <c r="AA172" s="525">
        <v>1.553</v>
      </c>
      <c r="AB172" s="512">
        <f>(Z172/'Field recov'!AK172)+(AA172/'Field recov'!AL172)</f>
        <v>6.445679012345678</v>
      </c>
      <c r="AC172" s="540">
        <f>V172+Y172+AB172</f>
        <v>11.896296296296295</v>
      </c>
      <c r="AD172" s="517">
        <f t="shared" si="15"/>
        <v>21119.22256748274</v>
      </c>
      <c r="AE172" s="518">
        <f>IF(OR(M172&lt;&gt;"",N172&lt;&gt;"",O172&lt;&gt;""),SUM(M172/'Field recov'!Q172,0.1/2,O172/'Field recov'!T172),"")</f>
        <v>1665.8030864197528</v>
      </c>
      <c r="AF172" s="518">
        <f t="shared" si="18"/>
        <v>0.5</v>
      </c>
      <c r="AG172" s="518">
        <f t="shared" si="19"/>
        <v>11.896296296296295</v>
      </c>
      <c r="AH172" s="518">
        <f>IF(N172&lt;&gt;"",IF(N172="&lt;LOQ",0.1/2,N172/'Field recov'!R172))</f>
        <v>0.05</v>
      </c>
      <c r="AI172" s="518">
        <f t="shared" si="16"/>
        <v>1126.6420590081607</v>
      </c>
      <c r="AJ172" s="647">
        <v>0.495</v>
      </c>
      <c r="AK172" s="508">
        <f>AD172/AJ172</f>
        <v>42665.096095924724</v>
      </c>
      <c r="AL172" s="508">
        <f>AE172/AJ172</f>
        <v>3365.258760443945</v>
      </c>
      <c r="AM172" s="508">
        <f>AF172/AJ172</f>
        <v>1.0101010101010102</v>
      </c>
      <c r="AN172" s="508">
        <f>IF(AG172&lt;&gt;"",AG172/AJ172)</f>
        <v>24.032921810699587</v>
      </c>
      <c r="AO172" s="508">
        <f>AH172/AJ172</f>
        <v>0.10101010101010102</v>
      </c>
      <c r="AP172" s="508">
        <f>Q172/AJ172</f>
        <v>27.48366013071895</v>
      </c>
      <c r="AR172" s="508">
        <f t="shared" si="17"/>
        <v>2276.04456365285</v>
      </c>
    </row>
    <row r="173" spans="1:44" ht="12.75">
      <c r="A173" s="522" t="s">
        <v>558</v>
      </c>
      <c r="B173" s="525"/>
      <c r="C173" s="525"/>
      <c r="D173" s="512"/>
      <c r="E173" s="525"/>
      <c r="F173" s="525"/>
      <c r="G173" s="512"/>
      <c r="H173" s="525"/>
      <c r="I173" s="525"/>
      <c r="J173" s="512"/>
      <c r="K173" s="509"/>
      <c r="L173" s="518"/>
      <c r="M173" s="520"/>
      <c r="N173" s="525"/>
      <c r="O173" s="525"/>
      <c r="P173" s="525"/>
      <c r="Q173" s="513"/>
      <c r="R173" s="525"/>
      <c r="S173" s="512"/>
      <c r="T173" s="525"/>
      <c r="U173" s="525"/>
      <c r="V173" s="512"/>
      <c r="W173" s="525"/>
      <c r="X173" s="525"/>
      <c r="Y173" s="540"/>
      <c r="Z173" s="525"/>
      <c r="AA173" s="525"/>
      <c r="AB173" s="512"/>
      <c r="AC173" s="540"/>
      <c r="AD173" s="517"/>
      <c r="AE173" s="518"/>
      <c r="AF173" s="518"/>
      <c r="AG173" s="518"/>
      <c r="AH173" s="518"/>
      <c r="AI173" s="518">
        <f t="shared" si="16"/>
      </c>
      <c r="AJ173" s="648" t="s">
        <v>110</v>
      </c>
      <c r="AK173" s="508"/>
      <c r="AL173" s="508"/>
      <c r="AM173" s="508"/>
      <c r="AN173" s="508"/>
      <c r="AO173" s="508"/>
      <c r="AP173" s="508"/>
      <c r="AR173" s="508">
        <f t="shared" si="17"/>
      </c>
    </row>
    <row r="174" spans="1:44" ht="12.75">
      <c r="A174" s="522" t="s">
        <v>118</v>
      </c>
      <c r="B174" s="525">
        <v>489</v>
      </c>
      <c r="C174" s="525">
        <v>330</v>
      </c>
      <c r="D174" s="512">
        <f>(B174/'Field recov'!B174)+(C174/'Field recov'!C174)</f>
        <v>1388.1355932203392</v>
      </c>
      <c r="E174" s="525">
        <v>125.8</v>
      </c>
      <c r="F174" s="525">
        <v>121.9</v>
      </c>
      <c r="G174" s="512">
        <f>(E174/'Field recov'!F174)+(F174/'Field recov'!G174)</f>
        <v>419.8305084745763</v>
      </c>
      <c r="H174" s="525">
        <v>762</v>
      </c>
      <c r="I174" s="525">
        <v>1742</v>
      </c>
      <c r="J174" s="512">
        <f>(H174/'Field recov'!J174)+(I174/'Field recov'!K174)</f>
        <v>4920.692090395481</v>
      </c>
      <c r="K174" s="509">
        <f>D174+G174+J174</f>
        <v>6728.6581920903955</v>
      </c>
      <c r="L174" s="518">
        <f>(E174/'Field recov'!F174)/2+(F174/'Field recov'!G174)</f>
        <v>313.22033898305085</v>
      </c>
      <c r="M174" s="520"/>
      <c r="N174" s="525" t="s">
        <v>464</v>
      </c>
      <c r="O174" s="525">
        <v>419.52</v>
      </c>
      <c r="P174" s="525">
        <v>2.566</v>
      </c>
      <c r="Q174" s="513">
        <f>(P174*29)/('Field recov'!V174*2)</f>
        <v>54.71617647058823</v>
      </c>
      <c r="R174" s="525">
        <v>4.47</v>
      </c>
      <c r="S174" s="512">
        <f>(R174*2)/'Field recov'!AA174</f>
        <v>11.037037037037036</v>
      </c>
      <c r="T174" s="525" t="s">
        <v>464</v>
      </c>
      <c r="U174" s="525" t="s">
        <v>464</v>
      </c>
      <c r="V174" s="512">
        <f>1+1</f>
        <v>2</v>
      </c>
      <c r="W174" s="525">
        <v>4.791</v>
      </c>
      <c r="X174" s="525">
        <v>4.339</v>
      </c>
      <c r="Y174" s="540">
        <f>(W174/'Field recov'!AG174)+(X174/'Field recov'!AH174)</f>
        <v>11.271604938271604</v>
      </c>
      <c r="Z174" s="525">
        <v>3.397</v>
      </c>
      <c r="AA174" s="525">
        <v>5.947</v>
      </c>
      <c r="AB174" s="512">
        <f>(Z174/'Field recov'!AK174)+(AA174/'Field recov'!AL174)</f>
        <v>11.535802469135803</v>
      </c>
      <c r="AC174" s="540">
        <f>V174+Y174+AB174</f>
        <v>24.807407407407407</v>
      </c>
      <c r="AD174" s="517">
        <f t="shared" si="15"/>
        <v>6753.465599497803</v>
      </c>
      <c r="AE174" s="518">
        <f>IF(OR(M174&lt;&gt;"",N174&lt;&gt;"",O174&lt;&gt;""),SUM(M174/'Field recov'!Q174,0.1/2,O174/'Field recov'!T174),"")</f>
        <v>517.9759259259258</v>
      </c>
      <c r="AF174" s="518">
        <f t="shared" si="18"/>
        <v>11.037037037037036</v>
      </c>
      <c r="AG174" s="518">
        <f t="shared" si="19"/>
        <v>24.807407407407407</v>
      </c>
      <c r="AH174" s="518">
        <f>IF(N174&lt;&gt;"",IF(N174="&lt;LOQ",0.1/2,N174/'Field recov'!R174))</f>
        <v>0.05</v>
      </c>
      <c r="AI174" s="518">
        <f t="shared" si="16"/>
        <v>5258.719836785939</v>
      </c>
      <c r="AJ174" s="647">
        <v>0.6</v>
      </c>
      <c r="AK174" s="508">
        <f>AD174/AJ174</f>
        <v>11255.775999163005</v>
      </c>
      <c r="AL174" s="508">
        <f>AE174/AJ174</f>
        <v>863.2932098765431</v>
      </c>
      <c r="AM174" s="508">
        <f>AF174/AJ174</f>
        <v>18.39506172839506</v>
      </c>
      <c r="AN174" s="508">
        <f>IF(AG174&lt;&gt;"",AG174/AJ174)</f>
        <v>41.34567901234568</v>
      </c>
      <c r="AO174" s="508">
        <f>AH174/AJ174</f>
        <v>0.08333333333333334</v>
      </c>
      <c r="AP174" s="508">
        <f>Q174/AJ174</f>
        <v>91.19362745098039</v>
      </c>
      <c r="AR174" s="508">
        <f t="shared" si="17"/>
        <v>8764.5330613099</v>
      </c>
    </row>
    <row r="175" spans="1:44" ht="12.75">
      <c r="A175" s="522" t="s">
        <v>119</v>
      </c>
      <c r="B175" s="525"/>
      <c r="C175" s="525"/>
      <c r="D175" s="512"/>
      <c r="E175" s="525"/>
      <c r="F175" s="525"/>
      <c r="G175" s="512"/>
      <c r="H175" s="525"/>
      <c r="I175" s="525"/>
      <c r="J175" s="512"/>
      <c r="K175" s="509"/>
      <c r="L175" s="518"/>
      <c r="M175" s="511"/>
      <c r="N175" s="525"/>
      <c r="O175" s="525"/>
      <c r="P175" s="525"/>
      <c r="Q175" s="513"/>
      <c r="R175" s="525"/>
      <c r="S175" s="512"/>
      <c r="T175" s="525"/>
      <c r="U175" s="525"/>
      <c r="V175" s="512"/>
      <c r="W175" s="525"/>
      <c r="X175" s="525"/>
      <c r="Y175" s="540"/>
      <c r="Z175" s="525"/>
      <c r="AA175" s="525"/>
      <c r="AB175" s="512"/>
      <c r="AC175" s="540"/>
      <c r="AD175" s="517"/>
      <c r="AE175" s="518"/>
      <c r="AF175" s="518"/>
      <c r="AG175" s="518"/>
      <c r="AH175" s="518"/>
      <c r="AI175" s="518">
        <f t="shared" si="16"/>
      </c>
      <c r="AJ175" s="648" t="s">
        <v>110</v>
      </c>
      <c r="AK175" s="508"/>
      <c r="AL175" s="508"/>
      <c r="AM175" s="508"/>
      <c r="AN175" s="508"/>
      <c r="AO175" s="508"/>
      <c r="AP175" s="508"/>
      <c r="AR175" s="508">
        <f t="shared" si="17"/>
      </c>
    </row>
    <row r="176" spans="1:44" ht="12.75">
      <c r="A176" s="522" t="s">
        <v>120</v>
      </c>
      <c r="B176" s="525">
        <v>51.89</v>
      </c>
      <c r="C176" s="525">
        <v>98.69</v>
      </c>
      <c r="D176" s="512">
        <f>(B176/'Field recov'!B176)+(C176/'Field recov'!C176)</f>
        <v>255.22033898305085</v>
      </c>
      <c r="E176" s="525">
        <v>5.785</v>
      </c>
      <c r="F176" s="525">
        <v>8.645</v>
      </c>
      <c r="G176" s="512">
        <f>(E176/'Field recov'!F176)+(F176/'Field recov'!G176)</f>
        <v>24.45762711864407</v>
      </c>
      <c r="H176" s="525">
        <v>224.9</v>
      </c>
      <c r="I176" s="525">
        <v>3526</v>
      </c>
      <c r="J176" s="512">
        <f>(H176/'Field recov'!J176)+(I176/'Field recov'!K176)</f>
        <v>7727.0197740113</v>
      </c>
      <c r="K176" s="509">
        <f>D176+G176+J176</f>
        <v>8006.697740112995</v>
      </c>
      <c r="L176" s="518">
        <f>(E176/'Field recov'!F176)/2+(F176/'Field recov'!G176)</f>
        <v>19.555084745762713</v>
      </c>
      <c r="M176" s="511"/>
      <c r="N176" s="525">
        <v>3.07</v>
      </c>
      <c r="O176" s="525">
        <v>1719</v>
      </c>
      <c r="P176" s="525">
        <v>2.32</v>
      </c>
      <c r="Q176" s="513">
        <f>(P176*29)/('Field recov'!V176*2)</f>
        <v>49.470588235294116</v>
      </c>
      <c r="R176" s="525" t="s">
        <v>464</v>
      </c>
      <c r="S176" s="512">
        <f>0.5</f>
        <v>0.5</v>
      </c>
      <c r="T176" s="525" t="s">
        <v>464</v>
      </c>
      <c r="U176" s="525" t="s">
        <v>464</v>
      </c>
      <c r="V176" s="512">
        <f>1+1</f>
        <v>2</v>
      </c>
      <c r="W176" s="525">
        <v>2.606</v>
      </c>
      <c r="X176" s="525" t="s">
        <v>464</v>
      </c>
      <c r="Y176" s="540">
        <f>(W176/'Field recov'!AG176)+1</f>
        <v>4.217283950617284</v>
      </c>
      <c r="Z176" s="525">
        <v>3.544</v>
      </c>
      <c r="AA176" s="525">
        <v>5.553</v>
      </c>
      <c r="AB176" s="512">
        <f>(Z176/'Field recov'!AK176)+(AA176/'Field recov'!AL176)</f>
        <v>11.230864197530863</v>
      </c>
      <c r="AC176" s="540">
        <f>V176+Y176+AB176</f>
        <v>17.448148148148146</v>
      </c>
      <c r="AD176" s="517">
        <f t="shared" si="15"/>
        <v>8024.145888261143</v>
      </c>
      <c r="AE176" s="518">
        <f>IF(OR(M176&lt;&gt;"",N176&lt;&gt;"",O176&lt;&gt;""),SUM(M176/'Field recov'!Q176,N176/'Field recov'!R176,O176/'Field recov'!T176),"")</f>
        <v>2328.554791154791</v>
      </c>
      <c r="AF176" s="518">
        <f t="shared" si="18"/>
        <v>0.5</v>
      </c>
      <c r="AG176" s="518">
        <f t="shared" si="19"/>
        <v>17.448148148148146</v>
      </c>
      <c r="AH176" s="518">
        <f>IF(N176&lt;&gt;"",N176/'Field recov'!R176)</f>
        <v>5.581818181818181</v>
      </c>
      <c r="AI176" s="518">
        <f t="shared" si="16"/>
        <v>7764.02300690521</v>
      </c>
      <c r="AJ176" s="647">
        <v>0.2925</v>
      </c>
      <c r="AK176" s="508">
        <f>AD176/AJ176</f>
        <v>27432.977395764596</v>
      </c>
      <c r="AL176" s="508">
        <f>AE176/AJ176</f>
        <v>7960.871080871081</v>
      </c>
      <c r="AM176" s="508">
        <f>AF176/AJ176</f>
        <v>1.7094017094017095</v>
      </c>
      <c r="AN176" s="508">
        <f>IF(AG176&lt;&gt;"",AG176/AJ176)</f>
        <v>59.65178854067742</v>
      </c>
      <c r="AO176" s="508">
        <f>AH176/AJ176</f>
        <v>19.08313908313908</v>
      </c>
      <c r="AP176" s="508">
        <f>Q176/AJ176</f>
        <v>169.13021618903971</v>
      </c>
      <c r="AR176" s="508">
        <f t="shared" si="17"/>
        <v>26543.668399675935</v>
      </c>
    </row>
    <row r="177" spans="1:44" ht="12.75">
      <c r="A177" s="522" t="s">
        <v>121</v>
      </c>
      <c r="B177" s="525"/>
      <c r="C177" s="525"/>
      <c r="D177" s="512"/>
      <c r="E177" s="525"/>
      <c r="F177" s="525"/>
      <c r="G177" s="512"/>
      <c r="H177" s="525"/>
      <c r="I177" s="525"/>
      <c r="J177" s="512"/>
      <c r="K177" s="509"/>
      <c r="L177" s="518"/>
      <c r="M177" s="511"/>
      <c r="N177" s="525"/>
      <c r="O177" s="525"/>
      <c r="P177" s="525"/>
      <c r="Q177" s="513"/>
      <c r="R177" s="525"/>
      <c r="S177" s="512"/>
      <c r="T177" s="525"/>
      <c r="U177" s="525"/>
      <c r="V177" s="512"/>
      <c r="W177" s="525"/>
      <c r="X177" s="525"/>
      <c r="Y177" s="540"/>
      <c r="Z177" s="525"/>
      <c r="AA177" s="525"/>
      <c r="AB177" s="512"/>
      <c r="AC177" s="540"/>
      <c r="AD177" s="517"/>
      <c r="AE177" s="518"/>
      <c r="AF177" s="518"/>
      <c r="AG177" s="518"/>
      <c r="AH177" s="518"/>
      <c r="AI177" s="518">
        <f t="shared" si="16"/>
      </c>
      <c r="AJ177" s="648" t="s">
        <v>110</v>
      </c>
      <c r="AK177" s="508"/>
      <c r="AL177" s="508"/>
      <c r="AM177" s="508"/>
      <c r="AN177" s="508"/>
      <c r="AO177" s="508"/>
      <c r="AP177" s="508"/>
      <c r="AR177" s="508">
        <f t="shared" si="17"/>
      </c>
    </row>
    <row r="178" spans="1:44" ht="12.75">
      <c r="A178" s="522" t="s">
        <v>122</v>
      </c>
      <c r="B178" s="525">
        <v>38.55</v>
      </c>
      <c r="C178" s="525">
        <v>70.85</v>
      </c>
      <c r="D178" s="512">
        <f>(B178/'Field recov'!B178)+(C178/'Field recov'!C178)</f>
        <v>185.4237288135593</v>
      </c>
      <c r="E178" s="525">
        <v>25.14</v>
      </c>
      <c r="F178" s="525">
        <v>13.88</v>
      </c>
      <c r="G178" s="512">
        <f>(E178/'Field recov'!F178)+(F178/'Field recov'!G178)</f>
        <v>66.13559322033899</v>
      </c>
      <c r="H178" s="525">
        <v>142.5</v>
      </c>
      <c r="I178" s="525">
        <v>2462</v>
      </c>
      <c r="J178" s="512">
        <f>(H178/'Field recov'!J178)+(I178/'Field recov'!K178)</f>
        <v>5370.692090395481</v>
      </c>
      <c r="K178" s="509">
        <f>D178+G178+J178</f>
        <v>5622.251412429379</v>
      </c>
      <c r="L178" s="518">
        <f>(E178/'Field recov'!F178)/2+(F178/'Field recov'!G178)</f>
        <v>44.83050847457628</v>
      </c>
      <c r="M178" s="511"/>
      <c r="N178" s="525" t="s">
        <v>464</v>
      </c>
      <c r="O178" s="525">
        <v>117.1</v>
      </c>
      <c r="P178" s="525">
        <v>3.218</v>
      </c>
      <c r="Q178" s="513">
        <f>(P178*29)/('Field recov'!V178*2)</f>
        <v>68.61911764705881</v>
      </c>
      <c r="R178" s="525">
        <v>1.345</v>
      </c>
      <c r="S178" s="512">
        <f>(R178*2)/'Field recov'!AA178</f>
        <v>3.3209876543209873</v>
      </c>
      <c r="T178" s="525" t="s">
        <v>464</v>
      </c>
      <c r="U178" s="525" t="s">
        <v>464</v>
      </c>
      <c r="V178" s="512">
        <f>1+1</f>
        <v>2</v>
      </c>
      <c r="W178" s="525">
        <v>3.525</v>
      </c>
      <c r="X178" s="525">
        <v>2.874</v>
      </c>
      <c r="Y178" s="540">
        <f>(W178/'Field recov'!AG178)+(X178/'Field recov'!AH178)</f>
        <v>7.899999999999999</v>
      </c>
      <c r="Z178" s="525" t="s">
        <v>464</v>
      </c>
      <c r="AA178" s="525" t="s">
        <v>464</v>
      </c>
      <c r="AB178" s="512">
        <f>1+1</f>
        <v>2</v>
      </c>
      <c r="AC178" s="540">
        <f>V178+Y178+AB178</f>
        <v>11.899999999999999</v>
      </c>
      <c r="AD178" s="517">
        <f t="shared" si="15"/>
        <v>5634.151412429379</v>
      </c>
      <c r="AE178" s="518">
        <f>IF(OR(M178&lt;&gt;"",N178&lt;&gt;"",O178&lt;&gt;""),SUM(M178/'Field recov'!Q178,0.1/2,O178/'Field recov'!T178),"")</f>
        <v>144.6179012345679</v>
      </c>
      <c r="AF178" s="518">
        <f t="shared" si="18"/>
        <v>3.3209876543209873</v>
      </c>
      <c r="AG178" s="518">
        <f t="shared" si="19"/>
        <v>11.899999999999999</v>
      </c>
      <c r="AH178" s="518">
        <f>IF(N178&lt;&gt;"",IF(N178="&lt;LOQ",0.1/2,N178/'Field recov'!R178))</f>
        <v>0.05</v>
      </c>
      <c r="AI178" s="518">
        <f t="shared" si="16"/>
        <v>5427.422598870056</v>
      </c>
      <c r="AJ178" s="647">
        <v>0.230625</v>
      </c>
      <c r="AK178" s="508">
        <f>AD178/AJ178</f>
        <v>24429.924823542024</v>
      </c>
      <c r="AL178" s="508">
        <f>AE178/AJ178</f>
        <v>627.0694904479909</v>
      </c>
      <c r="AM178" s="508">
        <f>AF178/AJ178</f>
        <v>14.399946468600486</v>
      </c>
      <c r="AN178" s="508">
        <f>IF(AG178&lt;&gt;"",AG178/AJ178)</f>
        <v>51.598915989159885</v>
      </c>
      <c r="AO178" s="508">
        <f>AH178/AJ178</f>
        <v>0.21680216802168023</v>
      </c>
      <c r="AP178" s="508">
        <f>Q178/AJ178</f>
        <v>297.53546947234173</v>
      </c>
      <c r="AR178" s="508">
        <f t="shared" si="17"/>
        <v>23533.539724097805</v>
      </c>
    </row>
    <row r="179" spans="1:44" ht="12.75">
      <c r="A179" s="522" t="s">
        <v>123</v>
      </c>
      <c r="B179" s="525"/>
      <c r="C179" s="525"/>
      <c r="D179" s="512"/>
      <c r="E179" s="525"/>
      <c r="F179" s="525"/>
      <c r="G179" s="512"/>
      <c r="H179" s="525"/>
      <c r="I179" s="525"/>
      <c r="J179" s="512"/>
      <c r="K179" s="509"/>
      <c r="L179" s="518"/>
      <c r="M179" s="511"/>
      <c r="N179" s="525"/>
      <c r="O179" s="525"/>
      <c r="P179" s="525"/>
      <c r="Q179" s="513"/>
      <c r="R179" s="525"/>
      <c r="S179" s="512"/>
      <c r="T179" s="525"/>
      <c r="U179" s="525"/>
      <c r="V179" s="512"/>
      <c r="W179" s="525"/>
      <c r="X179" s="525"/>
      <c r="Y179" s="540"/>
      <c r="Z179" s="525"/>
      <c r="AA179" s="525"/>
      <c r="AB179" s="512"/>
      <c r="AC179" s="540"/>
      <c r="AD179" s="517"/>
      <c r="AE179" s="518"/>
      <c r="AF179" s="518"/>
      <c r="AG179" s="518"/>
      <c r="AH179" s="518"/>
      <c r="AI179" s="518">
        <f t="shared" si="16"/>
      </c>
      <c r="AJ179" s="648" t="s">
        <v>110</v>
      </c>
      <c r="AK179" s="508"/>
      <c r="AL179" s="508"/>
      <c r="AM179" s="508"/>
      <c r="AN179" s="508"/>
      <c r="AO179" s="508"/>
      <c r="AP179" s="508"/>
      <c r="AR179" s="508">
        <f t="shared" si="17"/>
      </c>
    </row>
    <row r="180" spans="1:44" ht="12.75">
      <c r="A180" s="522" t="s">
        <v>124</v>
      </c>
      <c r="B180" s="525">
        <v>78.2</v>
      </c>
      <c r="C180" s="525">
        <v>58.2</v>
      </c>
      <c r="D180" s="512">
        <f>(B180/'Field recov'!B180)+(C180/'Field recov'!C180)</f>
        <v>231.18644067796612</v>
      </c>
      <c r="E180" s="525">
        <v>17.36</v>
      </c>
      <c r="F180" s="525">
        <v>15.38</v>
      </c>
      <c r="G180" s="512">
        <f>(E180/'Field recov'!F180)+(F180/'Field recov'!G180)</f>
        <v>55.49152542372882</v>
      </c>
      <c r="H180" s="525">
        <v>100.6</v>
      </c>
      <c r="I180" s="525">
        <v>2061</v>
      </c>
      <c r="J180" s="512">
        <f>(H180/'Field recov'!J180)+(I180/'Field recov'!K180)</f>
        <v>4464.2584745762715</v>
      </c>
      <c r="K180" s="509">
        <f>D180+G180+J180</f>
        <v>4750.936440677967</v>
      </c>
      <c r="L180" s="518">
        <f>(E180/'Field recov'!F180)/2+(F180/'Field recov'!G180)</f>
        <v>40.779661016949156</v>
      </c>
      <c r="M180" s="511"/>
      <c r="N180" s="525" t="s">
        <v>464</v>
      </c>
      <c r="O180" s="525">
        <v>621.1</v>
      </c>
      <c r="P180" s="525">
        <v>7.256</v>
      </c>
      <c r="Q180" s="513">
        <f>(P180*29)/('Field recov'!V180*2)</f>
        <v>154.7235294117647</v>
      </c>
      <c r="R180" s="525" t="s">
        <v>464</v>
      </c>
      <c r="S180" s="512">
        <f>0.5</f>
        <v>0.5</v>
      </c>
      <c r="T180" s="525">
        <v>3.1710000000000003</v>
      </c>
      <c r="U180" s="525">
        <v>2.679</v>
      </c>
      <c r="V180" s="512">
        <f>(T180/'Field recov'!AC180)+(U180/'Field recov'!AD180)</f>
        <v>7.222222222222221</v>
      </c>
      <c r="W180" s="525">
        <v>7.568</v>
      </c>
      <c r="X180" s="525">
        <v>6.239</v>
      </c>
      <c r="Y180" s="540">
        <f>(W180/'Field recov'!AG180)+(X180/'Field recov'!AH180)</f>
        <v>17.04567901234568</v>
      </c>
      <c r="Z180" s="525">
        <v>7.336</v>
      </c>
      <c r="AA180" s="525">
        <v>123.3</v>
      </c>
      <c r="AB180" s="512">
        <f>(Z180/'Field recov'!AK180)+(AA180/'Field recov'!AL180)</f>
        <v>161.27901234567898</v>
      </c>
      <c r="AC180" s="540">
        <f>V180+Y180+AB180</f>
        <v>185.5469135802469</v>
      </c>
      <c r="AD180" s="517">
        <f t="shared" si="15"/>
        <v>4936.483354258214</v>
      </c>
      <c r="AE180" s="518">
        <f>IF(OR(M180&lt;&gt;"",N180&lt;&gt;"",O180&lt;&gt;""),SUM(M180/'Field recov'!Q180,0.1/2,O180/'Field recov'!T180),"")</f>
        <v>766.84012345679</v>
      </c>
      <c r="AF180" s="518">
        <f t="shared" si="18"/>
        <v>0.5</v>
      </c>
      <c r="AG180" s="518">
        <f t="shared" si="19"/>
        <v>185.5469135802469</v>
      </c>
      <c r="AH180" s="518">
        <f>IF(N180&lt;&gt;"",IF(N180="&lt;LOQ",0.1/2,N180/'Field recov'!R180))</f>
        <v>0.05</v>
      </c>
      <c r="AI180" s="518">
        <f t="shared" si="16"/>
        <v>4690.585049173467</v>
      </c>
      <c r="AJ180" s="647">
        <v>0.23</v>
      </c>
      <c r="AK180" s="508">
        <f>AD180/AJ180</f>
        <v>21462.971105470493</v>
      </c>
      <c r="AL180" s="508">
        <f>AE180/AJ180</f>
        <v>3334.087493290391</v>
      </c>
      <c r="AM180" s="508">
        <f>AF180/AJ180</f>
        <v>2.1739130434782608</v>
      </c>
      <c r="AN180" s="508">
        <f>IF(AG180&lt;&gt;"",AG180/AJ180)</f>
        <v>806.7257112184648</v>
      </c>
      <c r="AO180" s="508">
        <f>AH180/AJ180</f>
        <v>0.21739130434782608</v>
      </c>
      <c r="AP180" s="508">
        <f>Q180/AJ180</f>
        <v>672.7109974424552</v>
      </c>
      <c r="AR180" s="508">
        <f t="shared" si="17"/>
        <v>20393.84803988464</v>
      </c>
    </row>
    <row r="181" spans="1:44" ht="12.75">
      <c r="A181" s="522" t="s">
        <v>125</v>
      </c>
      <c r="B181" s="525"/>
      <c r="C181" s="525"/>
      <c r="D181" s="512"/>
      <c r="E181" s="525"/>
      <c r="F181" s="525"/>
      <c r="G181" s="512"/>
      <c r="H181" s="525"/>
      <c r="I181" s="525"/>
      <c r="J181" s="512"/>
      <c r="K181" s="509"/>
      <c r="L181" s="518"/>
      <c r="M181" s="511"/>
      <c r="N181" s="525"/>
      <c r="O181" s="525"/>
      <c r="P181" s="525"/>
      <c r="Q181" s="513"/>
      <c r="R181" s="525"/>
      <c r="S181" s="512"/>
      <c r="T181" s="525"/>
      <c r="U181" s="525"/>
      <c r="V181" s="512"/>
      <c r="W181" s="525"/>
      <c r="X181" s="525"/>
      <c r="Y181" s="540"/>
      <c r="Z181" s="525"/>
      <c r="AA181" s="525"/>
      <c r="AB181" s="512"/>
      <c r="AC181" s="540"/>
      <c r="AD181" s="517"/>
      <c r="AE181" s="518"/>
      <c r="AF181" s="518"/>
      <c r="AG181" s="518"/>
      <c r="AH181" s="518"/>
      <c r="AI181" s="518">
        <f t="shared" si="16"/>
      </c>
      <c r="AJ181" s="647" t="s">
        <v>110</v>
      </c>
      <c r="AK181" s="508"/>
      <c r="AL181" s="508"/>
      <c r="AM181" s="508"/>
      <c r="AN181" s="508"/>
      <c r="AO181" s="508"/>
      <c r="AP181" s="508"/>
      <c r="AR181" s="508">
        <f t="shared" si="17"/>
      </c>
    </row>
    <row r="182" spans="1:44" ht="12.75">
      <c r="A182" s="522" t="s">
        <v>126</v>
      </c>
      <c r="B182" s="525">
        <v>128</v>
      </c>
      <c r="C182" s="525">
        <v>165.5</v>
      </c>
      <c r="D182" s="512">
        <f>(B182/'Field recov'!B182)+(C182/'Field recov'!C182)</f>
        <v>497.45762711864415</v>
      </c>
      <c r="E182" s="525">
        <v>60.78</v>
      </c>
      <c r="F182" s="525">
        <v>46.22</v>
      </c>
      <c r="G182" s="512">
        <f>(E182/'Field recov'!F182)+(F182/'Field recov'!G182)</f>
        <v>181.35593220338984</v>
      </c>
      <c r="H182" s="525">
        <v>234.6</v>
      </c>
      <c r="I182" s="525">
        <v>1132</v>
      </c>
      <c r="J182" s="512">
        <f>(H182/'Field recov'!J182)+(I182/'Field recov'!K182)</f>
        <v>2755.960451977401</v>
      </c>
      <c r="K182" s="509">
        <f>D182+G182+J182</f>
        <v>3434.774011299435</v>
      </c>
      <c r="L182" s="518">
        <f>(E182/'Field recov'!F182)/2+(F182/'Field recov'!G182)</f>
        <v>129.84745762711864</v>
      </c>
      <c r="M182" s="511"/>
      <c r="N182" s="525" t="s">
        <v>464</v>
      </c>
      <c r="O182" s="525">
        <v>754.1</v>
      </c>
      <c r="P182" s="525" t="s">
        <v>464</v>
      </c>
      <c r="Q182" s="513">
        <f>(0.05*29)/2</f>
        <v>0.7250000000000001</v>
      </c>
      <c r="R182" s="525">
        <v>3.164</v>
      </c>
      <c r="S182" s="512">
        <f>(R182*2)/'Field recov'!AA182</f>
        <v>7.812345679012346</v>
      </c>
      <c r="T182" s="525">
        <v>2.805</v>
      </c>
      <c r="U182" s="525">
        <v>3.9439999999999995</v>
      </c>
      <c r="V182" s="512">
        <f>(T182/'Field recov'!AC182)+(U182/'Field recov'!AD182)</f>
        <v>8.332098765432097</v>
      </c>
      <c r="W182" s="525">
        <v>10.22</v>
      </c>
      <c r="X182" s="525">
        <v>9.931</v>
      </c>
      <c r="Y182" s="540">
        <f>(W182/'Field recov'!AG182)+(X182/'Field recov'!AH182)</f>
        <v>24.877777777777773</v>
      </c>
      <c r="Z182" s="525">
        <v>3.424</v>
      </c>
      <c r="AA182" s="525">
        <v>4.365</v>
      </c>
      <c r="AB182" s="512">
        <f>(Z182/'Field recov'!AK182)+(AA182/'Field recov'!AL182)</f>
        <v>9.61604938271605</v>
      </c>
      <c r="AC182" s="540">
        <f>V182+Y182+AB182</f>
        <v>42.82592592592592</v>
      </c>
      <c r="AD182" s="517">
        <f t="shared" si="15"/>
        <v>3477.599937225361</v>
      </c>
      <c r="AE182" s="518">
        <f>IF(OR(M182&lt;&gt;"",N182&lt;&gt;"",O182&lt;&gt;""),SUM(M182/'Field recov'!Q182,0.1/2,O182/'Field recov'!T182),"")</f>
        <v>931.0376543209876</v>
      </c>
      <c r="AF182" s="518">
        <f t="shared" si="18"/>
        <v>7.812345679012346</v>
      </c>
      <c r="AG182" s="518">
        <f t="shared" si="19"/>
        <v>42.82592592592592</v>
      </c>
      <c r="AH182" s="518">
        <f>IF(N182&lt;&gt;"",IF(N182="&lt;LOQ",0.1/2,N182/'Field recov'!R182))</f>
        <v>0.05</v>
      </c>
      <c r="AI182" s="518">
        <f t="shared" si="16"/>
        <v>2928.6338355304456</v>
      </c>
      <c r="AJ182" s="647">
        <v>0.41324999999999995</v>
      </c>
      <c r="AK182" s="508">
        <f>AD182/AJ182</f>
        <v>8415.244857169659</v>
      </c>
      <c r="AL182" s="508">
        <f>AE182/AJ182</f>
        <v>2252.9646807525414</v>
      </c>
      <c r="AM182" s="508">
        <f>AF182/AJ182</f>
        <v>18.904647741106707</v>
      </c>
      <c r="AN182" s="508">
        <f>IF(AG182&lt;&gt;"",AG182/AJ182)</f>
        <v>103.63200466043781</v>
      </c>
      <c r="AO182" s="508">
        <f>AH182/AJ182</f>
        <v>0.1209921355111918</v>
      </c>
      <c r="AP182" s="508">
        <f>Q182/AJ182</f>
        <v>1.754385964912281</v>
      </c>
      <c r="AR182" s="508">
        <f t="shared" si="17"/>
        <v>7086.833237823221</v>
      </c>
    </row>
    <row r="183" spans="1:44" ht="12.75">
      <c r="A183" s="522" t="s">
        <v>127</v>
      </c>
      <c r="B183" s="525"/>
      <c r="C183" s="525"/>
      <c r="D183" s="512"/>
      <c r="E183" s="525"/>
      <c r="F183" s="525"/>
      <c r="G183" s="512"/>
      <c r="H183" s="525"/>
      <c r="I183" s="525"/>
      <c r="J183" s="512"/>
      <c r="K183" s="509"/>
      <c r="L183" s="518"/>
      <c r="M183" s="511"/>
      <c r="N183" s="525"/>
      <c r="O183" s="525"/>
      <c r="P183" s="525"/>
      <c r="Q183" s="513"/>
      <c r="R183" s="525"/>
      <c r="S183" s="512"/>
      <c r="T183" s="525"/>
      <c r="U183" s="525"/>
      <c r="V183" s="512"/>
      <c r="W183" s="525"/>
      <c r="X183" s="525"/>
      <c r="Y183" s="540"/>
      <c r="Z183" s="525"/>
      <c r="AA183" s="525"/>
      <c r="AB183" s="512"/>
      <c r="AC183" s="540"/>
      <c r="AD183" s="517"/>
      <c r="AE183" s="518"/>
      <c r="AF183" s="518"/>
      <c r="AG183" s="518"/>
      <c r="AH183" s="518"/>
      <c r="AI183" s="518">
        <f t="shared" si="16"/>
      </c>
      <c r="AJ183" s="649" t="s">
        <v>110</v>
      </c>
      <c r="AK183" s="508"/>
      <c r="AL183" s="508"/>
      <c r="AM183" s="508"/>
      <c r="AN183" s="508"/>
      <c r="AO183" s="508"/>
      <c r="AP183" s="508"/>
      <c r="AR183" s="508">
        <f t="shared" si="17"/>
      </c>
    </row>
    <row r="184" spans="1:44" ht="12.75">
      <c r="A184" s="522" t="s">
        <v>128</v>
      </c>
      <c r="B184" s="525">
        <v>41.61</v>
      </c>
      <c r="C184" s="525">
        <v>134.6</v>
      </c>
      <c r="D184" s="512">
        <f>(B184/'Field recov'!B184)+(C184/'Field recov'!C184)</f>
        <v>298.66101694915255</v>
      </c>
      <c r="E184" s="525">
        <v>3.716</v>
      </c>
      <c r="F184" s="525">
        <v>17.65</v>
      </c>
      <c r="G184" s="512">
        <f>(E184/'Field recov'!F184)+(F184/'Field recov'!G184)</f>
        <v>36.2135593220339</v>
      </c>
      <c r="H184" s="525">
        <v>101.3</v>
      </c>
      <c r="I184" s="525">
        <v>405.8</v>
      </c>
      <c r="J184" s="512">
        <f>(H184/'Field recov'!J184)+(I184/'Field recov'!K184)</f>
        <v>859.491525423729</v>
      </c>
      <c r="K184" s="509">
        <f>D184+G184+J184</f>
        <v>1194.3661016949154</v>
      </c>
      <c r="L184" s="518">
        <f>(E184/'Field recov'!F184)/2+(F184/'Field recov'!G184)</f>
        <v>33.06440677966101</v>
      </c>
      <c r="M184" s="511"/>
      <c r="N184" s="525" t="s">
        <v>464</v>
      </c>
      <c r="O184" s="525">
        <v>1472</v>
      </c>
      <c r="P184" s="525" t="s">
        <v>464</v>
      </c>
      <c r="Q184" s="513">
        <f>(0.05*29)/2</f>
        <v>0.7250000000000001</v>
      </c>
      <c r="R184" s="525" t="s">
        <v>464</v>
      </c>
      <c r="S184" s="512">
        <f>0.5</f>
        <v>0.5</v>
      </c>
      <c r="T184" s="525" t="s">
        <v>464</v>
      </c>
      <c r="U184" s="525" t="s">
        <v>464</v>
      </c>
      <c r="V184" s="512">
        <f>1+1</f>
        <v>2</v>
      </c>
      <c r="W184" s="525">
        <v>2</v>
      </c>
      <c r="X184" s="525" t="s">
        <v>464</v>
      </c>
      <c r="Y184" s="540">
        <f>(W184/'Field recov'!AG184)+1</f>
        <v>3.4691358024691357</v>
      </c>
      <c r="Z184" s="525" t="s">
        <v>464</v>
      </c>
      <c r="AA184" s="525" t="s">
        <v>464</v>
      </c>
      <c r="AB184" s="512">
        <f>1+1</f>
        <v>2</v>
      </c>
      <c r="AC184" s="540">
        <f>V184+Y184+AB184</f>
        <v>7.469135802469136</v>
      </c>
      <c r="AD184" s="517">
        <f t="shared" si="15"/>
        <v>1201.8352374973845</v>
      </c>
      <c r="AE184" s="518">
        <f>IF(OR(M184&lt;&gt;"",N184&lt;&gt;"",O184&lt;&gt;""),SUM(M184/'Field recov'!Q184,0.1/2,O184/'Field recov'!T184),"")</f>
        <v>1817.3339506172838</v>
      </c>
      <c r="AF184" s="518">
        <f t="shared" si="18"/>
        <v>0.5</v>
      </c>
      <c r="AG184" s="518">
        <f t="shared" si="19"/>
        <v>7.469135802469136</v>
      </c>
      <c r="AH184" s="518">
        <f>IF(N184&lt;&gt;"",IF(N184="&lt;LOQ",0.1/2,N184/'Field recov'!R184))</f>
        <v>0.05</v>
      </c>
      <c r="AI184" s="518">
        <f t="shared" si="16"/>
        <v>900.0250680058591</v>
      </c>
      <c r="AJ184" s="647">
        <v>0.2252333333333333</v>
      </c>
      <c r="AK184" s="508">
        <f>AD184/AJ184</f>
        <v>5335.956360059426</v>
      </c>
      <c r="AL184" s="508">
        <f>AE184/AJ184</f>
        <v>8068.672268539073</v>
      </c>
      <c r="AM184" s="508">
        <f>AF184/AJ184</f>
        <v>2.2199200828770165</v>
      </c>
      <c r="AN184" s="508">
        <f>IF(AG184&lt;&gt;"",AG184/AJ184)</f>
        <v>33.16176913927395</v>
      </c>
      <c r="AO184" s="508">
        <f>AH184/AJ184</f>
        <v>0.2219920082877017</v>
      </c>
      <c r="AP184" s="508">
        <f>Q184/AJ184</f>
        <v>3.2188841201716745</v>
      </c>
      <c r="AR184" s="508">
        <f t="shared" si="17"/>
        <v>3995.9674471179187</v>
      </c>
    </row>
    <row r="185" spans="1:44" s="536" customFormat="1" ht="12.75">
      <c r="A185" s="539" t="s">
        <v>543</v>
      </c>
      <c r="B185" s="526"/>
      <c r="C185" s="526"/>
      <c r="D185" s="516"/>
      <c r="E185" s="526"/>
      <c r="F185" s="526"/>
      <c r="G185" s="516"/>
      <c r="H185" s="526"/>
      <c r="I185" s="526"/>
      <c r="J185" s="516"/>
      <c r="K185" s="527"/>
      <c r="L185" s="527"/>
      <c r="M185" s="519"/>
      <c r="N185" s="519"/>
      <c r="O185" s="519"/>
      <c r="P185" s="514"/>
      <c r="Q185" s="596"/>
      <c r="R185" s="515"/>
      <c r="S185" s="516"/>
      <c r="T185" s="526"/>
      <c r="U185" s="526"/>
      <c r="V185" s="516"/>
      <c r="W185" s="526"/>
      <c r="X185" s="526"/>
      <c r="Y185" s="530"/>
      <c r="Z185" s="526"/>
      <c r="AA185" s="526"/>
      <c r="AB185" s="516"/>
      <c r="AC185" s="530"/>
      <c r="AD185" s="516"/>
      <c r="AE185" s="527"/>
      <c r="AF185" s="527"/>
      <c r="AG185" s="527"/>
      <c r="AH185" s="527"/>
      <c r="AI185" s="527">
        <f t="shared" si="16"/>
      </c>
      <c r="AJ185" s="620" t="s">
        <v>110</v>
      </c>
      <c r="AK185" s="561"/>
      <c r="AL185" s="561" t="s">
        <v>110</v>
      </c>
      <c r="AM185" s="561"/>
      <c r="AN185" s="561"/>
      <c r="AO185" s="561"/>
      <c r="AP185" s="561"/>
      <c r="AR185" s="561">
        <f t="shared" si="17"/>
      </c>
    </row>
    <row r="186" spans="1:44" ht="12.75">
      <c r="A186" s="522" t="s">
        <v>544</v>
      </c>
      <c r="B186" s="525">
        <v>99570</v>
      </c>
      <c r="C186" s="525">
        <v>143600</v>
      </c>
      <c r="D186" s="512">
        <f>(B186/'Field recov'!B186)+(C186/'Field recov'!C186)</f>
        <v>276329.54545454547</v>
      </c>
      <c r="E186" s="525">
        <v>74410</v>
      </c>
      <c r="F186" s="525">
        <v>42320</v>
      </c>
      <c r="G186" s="512">
        <f>(E186/'Field recov'!F186)+(F186/'Field recov'!G186)</f>
        <v>132647.72727272726</v>
      </c>
      <c r="H186" s="525">
        <v>187400</v>
      </c>
      <c r="I186" s="525">
        <v>55420</v>
      </c>
      <c r="J186" s="512">
        <f>(H186/'Field recov'!J186)+(I186/'Field recov'!K186)</f>
        <v>275931.8181818182</v>
      </c>
      <c r="K186" s="509">
        <f>D186+G186+J186</f>
        <v>684909.0909090908</v>
      </c>
      <c r="L186" s="518">
        <f>(E186/'Field recov'!F186)/2+(F186/'Field recov'!G186)</f>
        <v>90369.31818181818</v>
      </c>
      <c r="M186" s="520"/>
      <c r="N186" s="521">
        <v>24.68</v>
      </c>
      <c r="O186" s="521">
        <v>22320</v>
      </c>
      <c r="P186" s="521">
        <v>144.5</v>
      </c>
      <c r="Q186" s="513">
        <f>(P186*29)/('Field recov'!V186*2)</f>
        <v>3081.25</v>
      </c>
      <c r="R186" s="521">
        <v>687.9</v>
      </c>
      <c r="S186" s="512">
        <f>(R186*2)/'Field recov'!AA186</f>
        <v>1375.8</v>
      </c>
      <c r="T186" s="525">
        <v>2955</v>
      </c>
      <c r="U186" s="525">
        <v>7509</v>
      </c>
      <c r="V186" s="512">
        <f>(T186/'Field recov'!AC186)+(U186/'Field recov'!AD186)</f>
        <v>11757.303370786516</v>
      </c>
      <c r="W186" s="525">
        <v>1261</v>
      </c>
      <c r="X186" s="525">
        <v>4754</v>
      </c>
      <c r="Y186" s="540">
        <f>(W186/'Field recov'!AG186)+(X186/'Field recov'!AH186)</f>
        <v>6758.426966292134</v>
      </c>
      <c r="Z186" s="525">
        <v>2443</v>
      </c>
      <c r="AA186" s="525">
        <v>13950</v>
      </c>
      <c r="AB186" s="512">
        <f>(Z186/'Field recov'!AK186)+(AA186/'Field recov'!AL186)</f>
        <v>18419.101123595505</v>
      </c>
      <c r="AC186" s="540">
        <f>V186+Y186+AB186</f>
        <v>36934.831460674155</v>
      </c>
      <c r="AD186" s="517">
        <f t="shared" si="15"/>
        <v>721843.922369765</v>
      </c>
      <c r="AE186" s="518">
        <f>IF(OR(M186&lt;&gt;"",N186&lt;&gt;"",O186&lt;&gt;""),SUM(M186/'Field recov'!Q186,N186/'Field recov'!R186,O186/'Field recov'!T186),"")</f>
        <v>22348.367816091955</v>
      </c>
      <c r="AF186" s="518">
        <f t="shared" si="18"/>
        <v>1375.8</v>
      </c>
      <c r="AG186" s="518">
        <f t="shared" si="19"/>
        <v>36934.831460674155</v>
      </c>
      <c r="AH186" s="518">
        <f>IF(N186&lt;&gt;"",N186/'Field recov'!R186)</f>
        <v>28.367816091954023</v>
      </c>
      <c r="AI186" s="518">
        <f t="shared" si="16"/>
        <v>403235.96782431053</v>
      </c>
      <c r="AJ186" s="624">
        <v>1.275</v>
      </c>
      <c r="AK186" s="508">
        <f>AD186/AJ186</f>
        <v>566152.0959762863</v>
      </c>
      <c r="AL186" s="508">
        <f>AE186/AJ186</f>
        <v>17528.13162046428</v>
      </c>
      <c r="AM186" s="508">
        <f>AF186/AJ186</f>
        <v>1079.0588235294117</v>
      </c>
      <c r="AN186" s="508">
        <f>IF(AG186&lt;&gt;"",AG186/AJ186)</f>
        <v>28968.49526327385</v>
      </c>
      <c r="AO186" s="508">
        <f>AH186/AJ186</f>
        <v>22.249267523101196</v>
      </c>
      <c r="AP186" s="508">
        <f>Q186/AJ186</f>
        <v>2416.666666666667</v>
      </c>
      <c r="AR186" s="508">
        <f t="shared" si="17"/>
        <v>316263.5041759299</v>
      </c>
    </row>
    <row r="187" spans="1:44" ht="12.75">
      <c r="A187" s="522" t="s">
        <v>545</v>
      </c>
      <c r="B187" s="525"/>
      <c r="C187" s="525"/>
      <c r="D187" s="512"/>
      <c r="E187" s="525"/>
      <c r="F187" s="525"/>
      <c r="G187" s="512"/>
      <c r="H187" s="525"/>
      <c r="I187" s="525"/>
      <c r="J187" s="512"/>
      <c r="K187" s="509"/>
      <c r="L187" s="518"/>
      <c r="M187" s="520"/>
      <c r="N187" s="521"/>
      <c r="O187" s="521"/>
      <c r="P187" s="521"/>
      <c r="Q187" s="513"/>
      <c r="R187" s="521"/>
      <c r="S187" s="512"/>
      <c r="T187" s="525"/>
      <c r="U187" s="525"/>
      <c r="V187" s="512"/>
      <c r="W187" s="525"/>
      <c r="X187" s="525"/>
      <c r="Y187" s="540"/>
      <c r="Z187" s="525"/>
      <c r="AA187" s="525"/>
      <c r="AB187" s="512"/>
      <c r="AC187" s="540"/>
      <c r="AD187" s="517"/>
      <c r="AE187" s="518"/>
      <c r="AF187" s="518"/>
      <c r="AG187" s="518"/>
      <c r="AH187" s="518"/>
      <c r="AI187" s="518">
        <f t="shared" si="16"/>
      </c>
      <c r="AJ187" s="621" t="s">
        <v>110</v>
      </c>
      <c r="AK187" s="508"/>
      <c r="AL187" s="508"/>
      <c r="AM187" s="508"/>
      <c r="AN187" s="508"/>
      <c r="AO187" s="508"/>
      <c r="AP187" s="508"/>
      <c r="AR187" s="508">
        <f t="shared" si="17"/>
      </c>
    </row>
    <row r="188" spans="1:44" ht="12.75">
      <c r="A188" s="522" t="s">
        <v>546</v>
      </c>
      <c r="B188" s="525">
        <v>9800</v>
      </c>
      <c r="C188" s="525">
        <v>6302</v>
      </c>
      <c r="D188" s="512">
        <f>(B188/'Field recov'!B188)+(C188/'Field recov'!C188)</f>
        <v>18297.727272727272</v>
      </c>
      <c r="E188" s="525">
        <v>5638</v>
      </c>
      <c r="F188" s="525">
        <v>2243</v>
      </c>
      <c r="G188" s="512">
        <f>(E188/'Field recov'!F188)+(F188/'Field recov'!G188)</f>
        <v>8955.681818181818</v>
      </c>
      <c r="H188" s="525">
        <v>15370</v>
      </c>
      <c r="I188" s="525">
        <v>54150</v>
      </c>
      <c r="J188" s="512">
        <f>(H188/'Field recov'!J188)+(I188/'Field recov'!K188)</f>
        <v>79000</v>
      </c>
      <c r="K188" s="509">
        <f>D188+G188+J188</f>
        <v>106253.40909090909</v>
      </c>
      <c r="L188" s="518">
        <f>(E188/'Field recov'!F188)/2+(F188/'Field recov'!G188)</f>
        <v>5752.272727272728</v>
      </c>
      <c r="M188" s="520"/>
      <c r="N188" s="521" t="s">
        <v>464</v>
      </c>
      <c r="O188" s="521">
        <v>9513</v>
      </c>
      <c r="P188" s="521">
        <v>20.73</v>
      </c>
      <c r="Q188" s="513">
        <f>(P188*29)/('Field recov'!V188*2)</f>
        <v>442.0367647058823</v>
      </c>
      <c r="R188" s="521">
        <v>112.7</v>
      </c>
      <c r="S188" s="512">
        <f>(R188*2)/'Field recov'!AA188</f>
        <v>375.6666666666667</v>
      </c>
      <c r="T188" s="525">
        <v>21</v>
      </c>
      <c r="U188" s="525">
        <v>19.58</v>
      </c>
      <c r="V188" s="512">
        <f>(T188/'Field recov'!AC188)+(U188/'Field recov'!AD188)</f>
        <v>60.56716417910447</v>
      </c>
      <c r="W188" s="525">
        <v>148</v>
      </c>
      <c r="X188" s="525">
        <v>74.13</v>
      </c>
      <c r="Y188" s="540">
        <f>(W188/'Field recov'!AG188)+(X188/'Field recov'!AH188)</f>
        <v>331.5373134328358</v>
      </c>
      <c r="Z188" s="525">
        <v>56.93</v>
      </c>
      <c r="AA188" s="525">
        <v>1590</v>
      </c>
      <c r="AB188" s="512">
        <f>(Z188/'Field recov'!AK188)+(AA188/'Field recov'!AL188)</f>
        <v>1871.4870031863156</v>
      </c>
      <c r="AC188" s="540">
        <f>V188+Y188+AB188</f>
        <v>2263.591480798256</v>
      </c>
      <c r="AD188" s="517">
        <f t="shared" si="15"/>
        <v>108517.00057170735</v>
      </c>
      <c r="AE188" s="518">
        <f>IF(OR(M188&lt;&gt;"",N188&lt;&gt;"",O188&lt;&gt;""),SUM(M188/'Field recov'!Q188,1/2,O188/'Field recov'!T188),"")</f>
        <v>9513.5</v>
      </c>
      <c r="AF188" s="518">
        <f t="shared" si="18"/>
        <v>375.6666666666667</v>
      </c>
      <c r="AG188" s="518">
        <f t="shared" si="19"/>
        <v>2263.591480798256</v>
      </c>
      <c r="AH188" s="518">
        <f>IF(N188&lt;&gt;"",IF(N188="&lt;LOQ",1/2,N188/'Field recov'!R188))</f>
        <v>0.5</v>
      </c>
      <c r="AI188" s="518">
        <f t="shared" si="16"/>
        <v>87015.864208071</v>
      </c>
      <c r="AJ188" s="624">
        <v>0.819</v>
      </c>
      <c r="AK188" s="508">
        <f>AD188/AJ188</f>
        <v>132499.39019744488</v>
      </c>
      <c r="AL188" s="508">
        <f>AE188/AJ188</f>
        <v>11615.995115995116</v>
      </c>
      <c r="AM188" s="508">
        <f>AF188/AJ188</f>
        <v>458.6894586894587</v>
      </c>
      <c r="AN188" s="508">
        <f>IF(AG188&lt;&gt;"",AG188/AJ188)</f>
        <v>2763.8479619026325</v>
      </c>
      <c r="AO188" s="508">
        <f>AH188/AJ188</f>
        <v>0.6105006105006106</v>
      </c>
      <c r="AP188" s="508">
        <f>Q188/AJ188</f>
        <v>539.7274294333117</v>
      </c>
      <c r="AR188" s="508">
        <f t="shared" si="17"/>
        <v>106246.47644453114</v>
      </c>
    </row>
    <row r="189" spans="1:44" ht="12.75">
      <c r="A189" s="522" t="s">
        <v>547</v>
      </c>
      <c r="B189" s="525"/>
      <c r="C189" s="525"/>
      <c r="D189" s="512"/>
      <c r="E189" s="525"/>
      <c r="F189" s="525"/>
      <c r="G189" s="512"/>
      <c r="H189" s="525"/>
      <c r="I189" s="525"/>
      <c r="J189" s="512"/>
      <c r="K189" s="509"/>
      <c r="L189" s="518"/>
      <c r="M189" s="520"/>
      <c r="N189" s="521"/>
      <c r="O189" s="521"/>
      <c r="P189" s="521"/>
      <c r="Q189" s="513"/>
      <c r="R189" s="521"/>
      <c r="S189" s="512"/>
      <c r="T189" s="525"/>
      <c r="U189" s="525"/>
      <c r="V189" s="512"/>
      <c r="W189" s="525"/>
      <c r="X189" s="525"/>
      <c r="Y189" s="540"/>
      <c r="Z189" s="525"/>
      <c r="AA189" s="525"/>
      <c r="AB189" s="512"/>
      <c r="AC189" s="540"/>
      <c r="AD189" s="517"/>
      <c r="AE189" s="518"/>
      <c r="AF189" s="518"/>
      <c r="AG189" s="518"/>
      <c r="AH189" s="518"/>
      <c r="AI189" s="518">
        <f t="shared" si="16"/>
      </c>
      <c r="AJ189" s="621" t="s">
        <v>110</v>
      </c>
      <c r="AK189" s="508"/>
      <c r="AL189" s="508"/>
      <c r="AM189" s="508"/>
      <c r="AN189" s="508"/>
      <c r="AO189" s="508"/>
      <c r="AP189" s="508"/>
      <c r="AR189" s="508">
        <f t="shared" si="17"/>
      </c>
    </row>
    <row r="190" spans="1:44" ht="12.75">
      <c r="A190" s="522" t="s">
        <v>548</v>
      </c>
      <c r="B190" s="525">
        <v>20720</v>
      </c>
      <c r="C190" s="525">
        <v>23050</v>
      </c>
      <c r="D190" s="512">
        <f>(B190/'Field recov'!B190)+(C190/'Field recov'!C190)</f>
        <v>49738.63636363637</v>
      </c>
      <c r="E190" s="525">
        <v>26200</v>
      </c>
      <c r="F190" s="525">
        <v>14340</v>
      </c>
      <c r="G190" s="512">
        <f>(E190/'Field recov'!F190)+(F190/'Field recov'!G190)</f>
        <v>46068.181818181816</v>
      </c>
      <c r="H190" s="525">
        <v>103400</v>
      </c>
      <c r="I190" s="525">
        <v>357000</v>
      </c>
      <c r="J190" s="512">
        <f>(H190/'Field recov'!J190)+(I190/'Field recov'!K190)</f>
        <v>523181.8181818182</v>
      </c>
      <c r="K190" s="509">
        <f>D190+G190+J190</f>
        <v>618988.6363636364</v>
      </c>
      <c r="L190" s="518">
        <f>(E190/'Field recov'!F190)/2+(F190/'Field recov'!G190)</f>
        <v>31181.818181818184</v>
      </c>
      <c r="M190" s="520"/>
      <c r="N190" s="521">
        <v>5.581</v>
      </c>
      <c r="O190" s="521">
        <v>9322</v>
      </c>
      <c r="P190" s="521">
        <v>4.678</v>
      </c>
      <c r="Q190" s="513">
        <f>(P190*29)/('Field recov'!V190*2)</f>
        <v>99.75147058823529</v>
      </c>
      <c r="R190" s="521">
        <v>349.4</v>
      </c>
      <c r="S190" s="512">
        <f>(R190*2)/'Field recov'!AA190</f>
        <v>698.8</v>
      </c>
      <c r="T190" s="525">
        <v>82.29</v>
      </c>
      <c r="U190" s="525">
        <v>91.04</v>
      </c>
      <c r="V190" s="512">
        <f>(T190/'Field recov'!AC190)+(U190/'Field recov'!AD190)</f>
        <v>258.7014925373134</v>
      </c>
      <c r="W190" s="525">
        <v>1313</v>
      </c>
      <c r="X190" s="525">
        <v>457.1</v>
      </c>
      <c r="Y190" s="540">
        <f>(W190/'Field recov'!AG190)+(X190/'Field recov'!AH190)</f>
        <v>1988.876404494382</v>
      </c>
      <c r="Z190" s="525">
        <v>21440</v>
      </c>
      <c r="AA190" s="525">
        <v>9273</v>
      </c>
      <c r="AB190" s="512">
        <f>(Z190/'Field recov'!AK190)+(AA190/'Field recov'!AL190)</f>
        <v>34508.988764044945</v>
      </c>
      <c r="AC190" s="540">
        <f>V190+Y190+AB190</f>
        <v>36756.56666107664</v>
      </c>
      <c r="AD190" s="517">
        <f t="shared" si="15"/>
        <v>655745.203024713</v>
      </c>
      <c r="AE190" s="518">
        <f>IF(OR(M190&lt;&gt;"",N190&lt;&gt;"",O190&lt;&gt;""),SUM(M190/'Field recov'!Q190,N190/'Field recov'!R190,O190/'Field recov'!T190),"")</f>
        <v>9327.581</v>
      </c>
      <c r="AF190" s="518">
        <f t="shared" si="18"/>
        <v>698.8</v>
      </c>
      <c r="AG190" s="518">
        <f t="shared" si="19"/>
        <v>36756.56666107664</v>
      </c>
      <c r="AH190" s="518">
        <f>IF(N190&lt;&gt;"",N190/'Field recov'!R190)</f>
        <v>5.581</v>
      </c>
      <c r="AI190" s="518">
        <f t="shared" si="16"/>
        <v>591120.203024713</v>
      </c>
      <c r="AJ190" s="624">
        <v>0.525</v>
      </c>
      <c r="AK190" s="508">
        <f>AD190/AJ190</f>
        <v>1249038.4819518342</v>
      </c>
      <c r="AL190" s="508">
        <f>AE190/AJ190</f>
        <v>17766.820952380953</v>
      </c>
      <c r="AM190" s="508">
        <f>AF190/AJ190</f>
        <v>1331.0476190476188</v>
      </c>
      <c r="AN190" s="508">
        <f>IF(AG190&lt;&gt;"",AG190/AJ190)</f>
        <v>70012.50792586026</v>
      </c>
      <c r="AO190" s="508">
        <f>AH190/AJ190</f>
        <v>10.630476190476191</v>
      </c>
      <c r="AP190" s="508">
        <f>Q190/AJ190</f>
        <v>190.00280112044817</v>
      </c>
      <c r="AR190" s="508">
        <f t="shared" si="17"/>
        <v>1125943.243856596</v>
      </c>
    </row>
    <row r="191" spans="1:44" ht="12.75">
      <c r="A191" s="522" t="s">
        <v>549</v>
      </c>
      <c r="B191" s="525"/>
      <c r="C191" s="525"/>
      <c r="D191" s="512"/>
      <c r="E191" s="525"/>
      <c r="F191" s="525"/>
      <c r="G191" s="512"/>
      <c r="H191" s="525"/>
      <c r="I191" s="525"/>
      <c r="J191" s="512"/>
      <c r="K191" s="509"/>
      <c r="L191" s="518"/>
      <c r="M191" s="520"/>
      <c r="N191" s="521"/>
      <c r="O191" s="521"/>
      <c r="P191" s="521"/>
      <c r="Q191" s="513"/>
      <c r="R191" s="521"/>
      <c r="S191" s="512"/>
      <c r="T191" s="525"/>
      <c r="U191" s="525"/>
      <c r="V191" s="512"/>
      <c r="W191" s="525"/>
      <c r="X191" s="525"/>
      <c r="Y191" s="540"/>
      <c r="Z191" s="525"/>
      <c r="AA191" s="525"/>
      <c r="AB191" s="512"/>
      <c r="AC191" s="540"/>
      <c r="AD191" s="517"/>
      <c r="AE191" s="518"/>
      <c r="AF191" s="518"/>
      <c r="AG191" s="518"/>
      <c r="AH191" s="518"/>
      <c r="AI191" s="518">
        <f t="shared" si="16"/>
      </c>
      <c r="AJ191" s="621" t="s">
        <v>110</v>
      </c>
      <c r="AK191" s="508"/>
      <c r="AL191" s="508"/>
      <c r="AM191" s="508"/>
      <c r="AN191" s="508"/>
      <c r="AO191" s="508"/>
      <c r="AP191" s="508"/>
      <c r="AR191" s="508">
        <f t="shared" si="17"/>
      </c>
    </row>
    <row r="192" spans="1:44" ht="12.75">
      <c r="A192" s="522" t="s">
        <v>136</v>
      </c>
      <c r="B192" s="525">
        <v>41770</v>
      </c>
      <c r="C192" s="525">
        <v>26420</v>
      </c>
      <c r="D192" s="512">
        <f>(B192/'Field recov'!B192)+(C192/'Field recov'!C192)</f>
        <v>77488.63636363635</v>
      </c>
      <c r="E192" s="525">
        <v>32400</v>
      </c>
      <c r="F192" s="525">
        <v>23640</v>
      </c>
      <c r="G192" s="512">
        <f>(E192/'Field recov'!F192)+(F192/'Field recov'!G192)</f>
        <v>63681.81818181818</v>
      </c>
      <c r="H192" s="525">
        <v>107000</v>
      </c>
      <c r="I192" s="525">
        <v>290400</v>
      </c>
      <c r="J192" s="512">
        <f>(H192/'Field recov'!J192)+(I192/'Field recov'!K192)</f>
        <v>451590.90909090906</v>
      </c>
      <c r="K192" s="509">
        <f>D192+G192+J192</f>
        <v>592761.3636363635</v>
      </c>
      <c r="L192" s="518">
        <f>(E192/'Field recov'!F192)/2+(F192/'Field recov'!G192)</f>
        <v>45272.72727272727</v>
      </c>
      <c r="M192" s="520"/>
      <c r="N192" s="521" t="s">
        <v>464</v>
      </c>
      <c r="O192" s="521">
        <v>8623</v>
      </c>
      <c r="P192" s="521">
        <v>38.58</v>
      </c>
      <c r="Q192" s="513">
        <f>(P192*29)/('Field recov'!V192*2)</f>
        <v>822.6617647058822</v>
      </c>
      <c r="R192" s="521">
        <v>219.6</v>
      </c>
      <c r="S192" s="512">
        <f>(R192*2)/'Field recov'!AA192</f>
        <v>439.2</v>
      </c>
      <c r="T192" s="525">
        <v>2454</v>
      </c>
      <c r="U192" s="525">
        <v>3019</v>
      </c>
      <c r="V192" s="512">
        <f>(T192/'Field recov'!AC192)+(U192/'Field recov'!AD192)</f>
        <v>6149.438202247191</v>
      </c>
      <c r="W192" s="525">
        <v>431.3</v>
      </c>
      <c r="X192" s="525">
        <v>116.9</v>
      </c>
      <c r="Y192" s="540">
        <f>(W192/'Field recov'!AG192)+(X192/'Field recov'!AH192)</f>
        <v>659.0843535133322</v>
      </c>
      <c r="Z192" s="525">
        <v>1381</v>
      </c>
      <c r="AA192" s="525">
        <v>10220</v>
      </c>
      <c r="AB192" s="512">
        <f>(Z192/'Field recov'!AK192)+(AA192/'Field recov'!AL192)</f>
        <v>13034.831460674157</v>
      </c>
      <c r="AC192" s="540">
        <f>V192+Y192+AB192</f>
        <v>19843.354016434678</v>
      </c>
      <c r="AD192" s="517">
        <f t="shared" si="15"/>
        <v>612604.7176527982</v>
      </c>
      <c r="AE192" s="518">
        <f>IF(OR(M192&lt;&gt;"",N192&lt;&gt;"",O192&lt;&gt;""),SUM(M192/'Field recov'!Q192,1/2,O192/'Field recov'!T192),"")</f>
        <v>8623.5</v>
      </c>
      <c r="AF192" s="518">
        <f t="shared" si="18"/>
        <v>439.2</v>
      </c>
      <c r="AG192" s="518">
        <f t="shared" si="19"/>
        <v>19843.354016434678</v>
      </c>
      <c r="AH192" s="518">
        <f>IF(N192&lt;&gt;"",IF(N192="&lt;LOQ",1/2,N192/'Field recov'!R192))</f>
        <v>0.5</v>
      </c>
      <c r="AI192" s="518">
        <f t="shared" si="16"/>
        <v>516706.99038007105</v>
      </c>
      <c r="AJ192" s="624">
        <v>1.126</v>
      </c>
      <c r="AK192" s="508">
        <f>AD192/AJ192</f>
        <v>544053.9233150961</v>
      </c>
      <c r="AL192" s="508">
        <f>AE192/AJ192</f>
        <v>7658.5257548845475</v>
      </c>
      <c r="AM192" s="508">
        <f>AF192/AJ192</f>
        <v>390.05328596802843</v>
      </c>
      <c r="AN192" s="508">
        <f>IF(AG192&lt;&gt;"",AG192/AJ192)</f>
        <v>17622.872128272364</v>
      </c>
      <c r="AO192" s="508">
        <f>AH192/AJ192</f>
        <v>0.4440497335701599</v>
      </c>
      <c r="AP192" s="508">
        <f>Q192/AJ192</f>
        <v>730.6054748720092</v>
      </c>
      <c r="AR192" s="508">
        <f t="shared" si="17"/>
        <v>458887.2028242194</v>
      </c>
    </row>
    <row r="193" spans="1:44" ht="12.75">
      <c r="A193" s="522" t="s">
        <v>137</v>
      </c>
      <c r="B193" s="525"/>
      <c r="C193" s="525"/>
      <c r="D193" s="512"/>
      <c r="E193" s="525"/>
      <c r="F193" s="525"/>
      <c r="G193" s="512"/>
      <c r="H193" s="525"/>
      <c r="I193" s="525"/>
      <c r="J193" s="512"/>
      <c r="K193" s="509"/>
      <c r="L193" s="518"/>
      <c r="M193" s="520"/>
      <c r="N193" s="521"/>
      <c r="O193" s="521"/>
      <c r="P193" s="521"/>
      <c r="Q193" s="513"/>
      <c r="R193" s="521"/>
      <c r="S193" s="512"/>
      <c r="T193" s="525"/>
      <c r="U193" s="525"/>
      <c r="V193" s="512"/>
      <c r="W193" s="525"/>
      <c r="X193" s="525"/>
      <c r="Y193" s="540"/>
      <c r="Z193" s="525"/>
      <c r="AA193" s="525"/>
      <c r="AB193" s="512"/>
      <c r="AC193" s="540"/>
      <c r="AD193" s="517"/>
      <c r="AE193" s="518"/>
      <c r="AF193" s="518"/>
      <c r="AG193" s="518"/>
      <c r="AH193" s="518"/>
      <c r="AI193" s="518">
        <f t="shared" si="16"/>
      </c>
      <c r="AJ193" s="621" t="s">
        <v>110</v>
      </c>
      <c r="AK193" s="508"/>
      <c r="AL193" s="508"/>
      <c r="AM193" s="508"/>
      <c r="AN193" s="508"/>
      <c r="AO193" s="508"/>
      <c r="AP193" s="508"/>
      <c r="AR193" s="508">
        <f t="shared" si="17"/>
      </c>
    </row>
    <row r="194" spans="1:44" ht="12.75">
      <c r="A194" s="522" t="s">
        <v>138</v>
      </c>
      <c r="B194" s="525">
        <v>25880</v>
      </c>
      <c r="C194" s="525">
        <v>17610</v>
      </c>
      <c r="D194" s="512">
        <f>(B194/'Field recov'!B194)+(C194/'Field recov'!C194)</f>
        <v>49420.454545454544</v>
      </c>
      <c r="E194" s="525">
        <v>16230</v>
      </c>
      <c r="F194" s="525">
        <v>4280</v>
      </c>
      <c r="G194" s="512">
        <f>(E194/'Field recov'!F194)+(F194/'Field recov'!G194)</f>
        <v>23306.818181818184</v>
      </c>
      <c r="H194" s="525">
        <v>3816</v>
      </c>
      <c r="I194" s="525">
        <v>6919</v>
      </c>
      <c r="J194" s="512">
        <f>(H194/'Field recov'!J194)+(I194/'Field recov'!K194)</f>
        <v>12198.863636363636</v>
      </c>
      <c r="K194" s="509">
        <f>D194+G194+J194</f>
        <v>84926.13636363637</v>
      </c>
      <c r="L194" s="518">
        <f>(E194/'Field recov'!F194)/2+(F194/'Field recov'!G194)</f>
        <v>14085.227272727274</v>
      </c>
      <c r="M194" s="520"/>
      <c r="N194" s="521" t="s">
        <v>464</v>
      </c>
      <c r="O194" s="521">
        <v>4342</v>
      </c>
      <c r="P194" s="521">
        <v>10.07</v>
      </c>
      <c r="Q194" s="513">
        <f>(P194*29)/('Field recov'!V194*2)</f>
        <v>214.7279411764706</v>
      </c>
      <c r="R194" s="521">
        <v>252.7</v>
      </c>
      <c r="S194" s="512">
        <f>(R194*2)/'Field recov'!AA194</f>
        <v>505.4</v>
      </c>
      <c r="T194" s="525">
        <v>564.7</v>
      </c>
      <c r="U194" s="525">
        <v>432</v>
      </c>
      <c r="V194" s="512">
        <f>(T194/'Field recov'!AC194)+(U194/'Field recov'!AD194)</f>
        <v>1119.8876404494383</v>
      </c>
      <c r="W194" s="525">
        <v>1212</v>
      </c>
      <c r="X194" s="525">
        <v>382.3</v>
      </c>
      <c r="Y194" s="540">
        <f>(W194/'Field recov'!AG194)+(X194/'Field recov'!AH194)</f>
        <v>1791.3483146067415</v>
      </c>
      <c r="Z194" s="525">
        <v>663</v>
      </c>
      <c r="AA194" s="525">
        <v>11.31</v>
      </c>
      <c r="AB194" s="512">
        <f>(Z194/'Field recov'!AK194)+(AA194/'Field recov'!AL194)</f>
        <v>761.8244172396444</v>
      </c>
      <c r="AC194" s="540">
        <f>V194+Y194+AB194</f>
        <v>3673.060372295824</v>
      </c>
      <c r="AD194" s="517">
        <f t="shared" si="15"/>
        <v>88599.19673593219</v>
      </c>
      <c r="AE194" s="518">
        <f>IF(OR(M194&lt;&gt;"",N194&lt;&gt;"",O194&lt;&gt;""),SUM(M194/'Field recov'!Q194,1/2,O194/'Field recov'!T194),"")</f>
        <v>4342.5</v>
      </c>
      <c r="AF194" s="518">
        <f t="shared" si="18"/>
        <v>505.4</v>
      </c>
      <c r="AG194" s="518">
        <f t="shared" si="19"/>
        <v>3673.060372295824</v>
      </c>
      <c r="AH194" s="518">
        <f>IF(N194&lt;&gt;"",IF(N194="&lt;LOQ",1/2,N194/'Field recov'!R194))</f>
        <v>0.5</v>
      </c>
      <c r="AI194" s="518">
        <f t="shared" si="16"/>
        <v>29957.151281386738</v>
      </c>
      <c r="AJ194" s="624">
        <v>0.627</v>
      </c>
      <c r="AK194" s="508">
        <f>AD194/AJ194</f>
        <v>141306.53386911034</v>
      </c>
      <c r="AL194" s="508">
        <f>AE194/AJ194</f>
        <v>6925.837320574163</v>
      </c>
      <c r="AM194" s="508">
        <f>AF194/AJ194</f>
        <v>806.060606060606</v>
      </c>
      <c r="AN194" s="508">
        <f>IF(AG194&lt;&gt;"",AG194/AJ194)</f>
        <v>5858.150514028427</v>
      </c>
      <c r="AO194" s="508">
        <f>AH194/AJ194</f>
        <v>0.7974481658692185</v>
      </c>
      <c r="AP194" s="508">
        <f>Q194/AJ194</f>
        <v>342.46880570409985</v>
      </c>
      <c r="AR194" s="508">
        <f t="shared" si="17"/>
        <v>47778.55068801712</v>
      </c>
    </row>
    <row r="195" spans="1:44" ht="12.75">
      <c r="A195" s="522" t="s">
        <v>139</v>
      </c>
      <c r="B195" s="525"/>
      <c r="C195" s="525"/>
      <c r="D195" s="512"/>
      <c r="E195" s="525"/>
      <c r="F195" s="525"/>
      <c r="G195" s="512"/>
      <c r="H195" s="525"/>
      <c r="I195" s="525"/>
      <c r="J195" s="512"/>
      <c r="K195" s="509"/>
      <c r="L195" s="518"/>
      <c r="M195" s="511"/>
      <c r="N195" s="521"/>
      <c r="O195" s="521"/>
      <c r="P195" s="521"/>
      <c r="Q195" s="513"/>
      <c r="R195" s="521"/>
      <c r="S195" s="512"/>
      <c r="T195" s="525"/>
      <c r="U195" s="525"/>
      <c r="V195" s="512"/>
      <c r="W195" s="525"/>
      <c r="X195" s="525"/>
      <c r="Y195" s="540"/>
      <c r="Z195" s="525"/>
      <c r="AA195" s="525"/>
      <c r="AB195" s="512"/>
      <c r="AC195" s="540"/>
      <c r="AD195" s="517"/>
      <c r="AE195" s="518"/>
      <c r="AF195" s="518"/>
      <c r="AG195" s="518"/>
      <c r="AH195" s="518"/>
      <c r="AI195" s="518">
        <f t="shared" si="16"/>
      </c>
      <c r="AJ195" s="621" t="s">
        <v>110</v>
      </c>
      <c r="AK195" s="508"/>
      <c r="AL195" s="508"/>
      <c r="AM195" s="508"/>
      <c r="AN195" s="508"/>
      <c r="AO195" s="508"/>
      <c r="AP195" s="508"/>
      <c r="AR195" s="508">
        <f aca="true" t="shared" si="20" ref="AR195:AR224">IF(AI195&lt;&gt;"",AI195/AJ195,"")</f>
      </c>
    </row>
    <row r="196" spans="1:44" ht="12.75">
      <c r="A196" s="522" t="s">
        <v>140</v>
      </c>
      <c r="B196" s="525">
        <v>6129</v>
      </c>
      <c r="C196" s="525">
        <v>20460</v>
      </c>
      <c r="D196" s="512">
        <f>(B196/'Field recov'!B196)+(C196/'Field recov'!C196)</f>
        <v>30214.772727272728</v>
      </c>
      <c r="E196" s="525">
        <v>2980</v>
      </c>
      <c r="F196" s="525">
        <v>1644</v>
      </c>
      <c r="G196" s="512">
        <f>(E196/'Field recov'!F196)+(F196/'Field recov'!G196)</f>
        <v>5254.545454545455</v>
      </c>
      <c r="H196" s="525">
        <v>10440</v>
      </c>
      <c r="I196" s="525">
        <v>32480</v>
      </c>
      <c r="J196" s="512">
        <f>(H196/'Field recov'!J196)+(I196/'Field recov'!K196)</f>
        <v>48772.72727272728</v>
      </c>
      <c r="K196" s="509">
        <f>D196+G196+J196</f>
        <v>84242.04545454547</v>
      </c>
      <c r="L196" s="518">
        <f>(E196/'Field recov'!F196)/2+(F196/'Field recov'!G196)</f>
        <v>3561.3636363636365</v>
      </c>
      <c r="M196" s="511"/>
      <c r="N196" s="521">
        <v>1.117</v>
      </c>
      <c r="O196" s="521">
        <v>9349</v>
      </c>
      <c r="P196" s="521">
        <v>12.15</v>
      </c>
      <c r="Q196" s="513">
        <f>(P196*29)/('Field recov'!V196*2)</f>
        <v>259.08088235294116</v>
      </c>
      <c r="R196" s="521">
        <v>44.19</v>
      </c>
      <c r="S196" s="512">
        <f>(R196*2)/'Field recov'!AA196</f>
        <v>147.3</v>
      </c>
      <c r="T196" s="525">
        <v>7.71</v>
      </c>
      <c r="U196" s="525">
        <v>9.77</v>
      </c>
      <c r="V196" s="512">
        <f>(T196/'Field recov'!AC196)+(U196/'Field recov'!AD196)</f>
        <v>26.089552238805968</v>
      </c>
      <c r="W196" s="525">
        <v>48.57</v>
      </c>
      <c r="X196" s="525">
        <v>24.08</v>
      </c>
      <c r="Y196" s="540">
        <f>(W196/'Field recov'!AG196)+(X196/'Field recov'!AH196)</f>
        <v>108.43283582089552</v>
      </c>
      <c r="Z196" s="525">
        <v>19.56</v>
      </c>
      <c r="AA196" s="525">
        <v>10.31</v>
      </c>
      <c r="AB196" s="512">
        <f>(Z196/'Field recov'!AK196)+(AA196/'Field recov'!AL196)</f>
        <v>44.5820895522388</v>
      </c>
      <c r="AC196" s="540">
        <f>V196+Y196+AB196</f>
        <v>179.1044776119403</v>
      </c>
      <c r="AD196" s="517">
        <f t="shared" si="15"/>
        <v>84421.14993215741</v>
      </c>
      <c r="AE196" s="518">
        <f>IF(OR(M196&lt;&gt;"",N196&lt;&gt;"",O196&lt;&gt;""),SUM(M196/'Field recov'!Q196,N196/'Field recov'!R196,O196/'Field recov'!T196),"")</f>
        <v>9350.117</v>
      </c>
      <c r="AF196" s="518">
        <f aca="true" t="shared" si="21" ref="AF196:AF244">S196</f>
        <v>147.3</v>
      </c>
      <c r="AG196" s="518">
        <f t="shared" si="19"/>
        <v>179.1044776119403</v>
      </c>
      <c r="AH196" s="518">
        <f>IF(N196&lt;&gt;"",N196/'Field recov'!R196)</f>
        <v>1.117</v>
      </c>
      <c r="AI196" s="518">
        <f t="shared" si="16"/>
        <v>52513.19538670286</v>
      </c>
      <c r="AJ196" s="624">
        <v>0.429</v>
      </c>
      <c r="AK196" s="508">
        <f>AD196/AJ196</f>
        <v>196785.8972777562</v>
      </c>
      <c r="AL196" s="508">
        <f>AE196/AJ196</f>
        <v>21795.144522144525</v>
      </c>
      <c r="AM196" s="508">
        <f>AF196/AJ196</f>
        <v>343.3566433566434</v>
      </c>
      <c r="AN196" s="508">
        <f>IF(AG196&lt;&gt;"",AG196/AJ196)</f>
        <v>417.4929548063877</v>
      </c>
      <c r="AO196" s="508">
        <f>AH196/AJ196</f>
        <v>2.6037296037296036</v>
      </c>
      <c r="AP196" s="508">
        <f>Q196/AJ196</f>
        <v>603.9181406828466</v>
      </c>
      <c r="AR196" s="508">
        <f t="shared" si="20"/>
        <v>122408.38085478521</v>
      </c>
    </row>
    <row r="197" spans="1:44" ht="12.75">
      <c r="A197" s="522" t="s">
        <v>141</v>
      </c>
      <c r="B197" s="525"/>
      <c r="C197" s="525"/>
      <c r="D197" s="512"/>
      <c r="E197" s="525"/>
      <c r="F197" s="525"/>
      <c r="G197" s="512"/>
      <c r="H197" s="525"/>
      <c r="I197" s="525"/>
      <c r="J197" s="512"/>
      <c r="K197" s="509"/>
      <c r="L197" s="518"/>
      <c r="M197" s="511"/>
      <c r="N197" s="521"/>
      <c r="O197" s="521"/>
      <c r="P197" s="521"/>
      <c r="Q197" s="513"/>
      <c r="R197" s="521"/>
      <c r="S197" s="512"/>
      <c r="T197" s="525"/>
      <c r="U197" s="525"/>
      <c r="V197" s="512"/>
      <c r="W197" s="525"/>
      <c r="X197" s="525"/>
      <c r="Y197" s="540"/>
      <c r="Z197" s="525"/>
      <c r="AA197" s="525"/>
      <c r="AB197" s="512"/>
      <c r="AC197" s="540"/>
      <c r="AD197" s="517"/>
      <c r="AE197" s="518"/>
      <c r="AF197" s="518"/>
      <c r="AG197" s="518"/>
      <c r="AH197" s="518"/>
      <c r="AI197" s="518">
        <f t="shared" si="16"/>
      </c>
      <c r="AJ197" s="621" t="s">
        <v>110</v>
      </c>
      <c r="AK197" s="508"/>
      <c r="AL197" s="508"/>
      <c r="AM197" s="508"/>
      <c r="AN197" s="508"/>
      <c r="AO197" s="508"/>
      <c r="AP197" s="508"/>
      <c r="AR197" s="508">
        <f t="shared" si="20"/>
      </c>
    </row>
    <row r="198" spans="1:44" ht="12.75">
      <c r="A198" s="522" t="s">
        <v>142</v>
      </c>
      <c r="B198" s="525">
        <v>6851</v>
      </c>
      <c r="C198" s="525">
        <v>5781</v>
      </c>
      <c r="D198" s="512">
        <f>(B198/'Field recov'!B198)+(C198/'Field recov'!C198)</f>
        <v>14354.545454545456</v>
      </c>
      <c r="E198" s="525">
        <v>10690</v>
      </c>
      <c r="F198" s="525">
        <v>2680</v>
      </c>
      <c r="G198" s="512">
        <f>(E198/'Field recov'!F198)+(F198/'Field recov'!G198)</f>
        <v>15193.181818181818</v>
      </c>
      <c r="H198" s="525">
        <v>35260</v>
      </c>
      <c r="I198" s="525">
        <v>127500</v>
      </c>
      <c r="J198" s="512">
        <f>(H198/'Field recov'!J198)+(I198/'Field recov'!K198)</f>
        <v>184954.54545454547</v>
      </c>
      <c r="K198" s="509">
        <f aca="true" t="shared" si="22" ref="K198:K244">D198+G198+J198</f>
        <v>214502.27272727274</v>
      </c>
      <c r="L198" s="518">
        <f>(E198/'Field recov'!F198)/2+(F198/'Field recov'!G198)</f>
        <v>9119.318181818182</v>
      </c>
      <c r="M198" s="511"/>
      <c r="N198" s="521" t="s">
        <v>464</v>
      </c>
      <c r="O198" s="521">
        <v>5956</v>
      </c>
      <c r="P198" s="521">
        <v>14.15</v>
      </c>
      <c r="Q198" s="513">
        <f>(P198*29)/('Field recov'!V198*2)</f>
        <v>301.7279411764706</v>
      </c>
      <c r="R198" s="521">
        <v>4.06</v>
      </c>
      <c r="S198" s="512">
        <f>(R198*2)/'Field recov'!AA198</f>
        <v>13.533333333333333</v>
      </c>
      <c r="T198" s="525">
        <v>46.66</v>
      </c>
      <c r="U198" s="525">
        <v>4.4</v>
      </c>
      <c r="V198" s="512">
        <f>(T198/'Field recov'!AC198)+(U198/'Field recov'!AD198)</f>
        <v>76.2089552238806</v>
      </c>
      <c r="W198" s="525">
        <v>37.68</v>
      </c>
      <c r="X198" s="525" t="s">
        <v>464</v>
      </c>
      <c r="Y198" s="540">
        <f>(W198/'Field recov'!AG198)+0.5</f>
        <v>56.73880597014925</v>
      </c>
      <c r="Z198" s="525">
        <v>272.2</v>
      </c>
      <c r="AA198" s="525">
        <v>37.94</v>
      </c>
      <c r="AB198" s="512">
        <f>(Z198/'Field recov'!AK198)+(AA198/'Field recov'!AL198)</f>
        <v>362.4695623008553</v>
      </c>
      <c r="AC198" s="540">
        <f aca="true" t="shared" si="23" ref="AC198:AC244">V198+Y198+AB198</f>
        <v>495.4173234948851</v>
      </c>
      <c r="AD198" s="517">
        <f t="shared" si="15"/>
        <v>214997.69005076762</v>
      </c>
      <c r="AE198" s="518">
        <f>IF(OR(M198&lt;&gt;"",N198&lt;&gt;"",O198&lt;&gt;""),SUM(M198/'Field recov'!Q198,1/2,O198/'Field recov'!T198),"")</f>
        <v>5956.5</v>
      </c>
      <c r="AF198" s="518">
        <f t="shared" si="21"/>
        <v>13.533333333333333</v>
      </c>
      <c r="AG198" s="518">
        <f t="shared" si="19"/>
        <v>495.4173234948851</v>
      </c>
      <c r="AH198" s="518">
        <f>IF(N198&lt;&gt;"",IF(N198="&lt;LOQ",1/2,N198/'Field recov'!R198))</f>
        <v>0.5</v>
      </c>
      <c r="AI198" s="518">
        <f t="shared" si="16"/>
        <v>194569.28095985853</v>
      </c>
      <c r="AJ198" s="624">
        <v>0.561</v>
      </c>
      <c r="AK198" s="508">
        <f>AD198/AJ198</f>
        <v>383240.08921705454</v>
      </c>
      <c r="AL198" s="508">
        <f>AE198/AJ198</f>
        <v>10617.647058823528</v>
      </c>
      <c r="AM198" s="508">
        <f>AF198/AJ198</f>
        <v>24.12358882947118</v>
      </c>
      <c r="AN198" s="508">
        <f>IF(AG198&lt;&gt;"",AG198/AJ198)</f>
        <v>883.0968333242158</v>
      </c>
      <c r="AO198" s="508">
        <f>AH198/AJ198</f>
        <v>0.89126559714795</v>
      </c>
      <c r="AP198" s="508">
        <f aca="true" t="shared" si="24" ref="AP198:AP244">Q198/AJ198</f>
        <v>537.8394673377372</v>
      </c>
      <c r="AR198" s="508">
        <f t="shared" si="20"/>
        <v>346825.81276267115</v>
      </c>
    </row>
    <row r="199" spans="1:44" ht="12.75">
      <c r="A199" s="522" t="s">
        <v>143</v>
      </c>
      <c r="B199" s="525"/>
      <c r="C199" s="525"/>
      <c r="D199" s="512"/>
      <c r="E199" s="525"/>
      <c r="F199" s="525"/>
      <c r="G199" s="512"/>
      <c r="H199" s="525"/>
      <c r="I199" s="525"/>
      <c r="J199" s="512"/>
      <c r="K199" s="509"/>
      <c r="L199" s="518"/>
      <c r="M199" s="511"/>
      <c r="N199" s="521"/>
      <c r="O199" s="521"/>
      <c r="P199" s="521"/>
      <c r="Q199" s="513"/>
      <c r="R199" s="521"/>
      <c r="S199" s="512"/>
      <c r="T199" s="525"/>
      <c r="U199" s="525"/>
      <c r="V199" s="512"/>
      <c r="W199" s="525"/>
      <c r="X199" s="525"/>
      <c r="Y199" s="540"/>
      <c r="Z199" s="525"/>
      <c r="AA199" s="525"/>
      <c r="AB199" s="512"/>
      <c r="AC199" s="540"/>
      <c r="AD199" s="517"/>
      <c r="AE199" s="518"/>
      <c r="AF199" s="518"/>
      <c r="AG199" s="518"/>
      <c r="AH199" s="518"/>
      <c r="AI199" s="518">
        <f t="shared" si="16"/>
      </c>
      <c r="AJ199" s="621" t="s">
        <v>110</v>
      </c>
      <c r="AK199" s="508"/>
      <c r="AL199" s="508"/>
      <c r="AM199" s="508"/>
      <c r="AN199" s="508"/>
      <c r="AO199" s="508"/>
      <c r="AP199" s="508"/>
      <c r="AR199" s="508">
        <f t="shared" si="20"/>
      </c>
    </row>
    <row r="200" spans="1:44" ht="12.75">
      <c r="A200" s="522" t="s">
        <v>144</v>
      </c>
      <c r="B200" s="525">
        <v>2621</v>
      </c>
      <c r="C200" s="525">
        <v>185.7</v>
      </c>
      <c r="D200" s="512">
        <f>(B200/'Field recov'!B200)+(C200/'Field recov'!C200)</f>
        <v>3226.009090909091</v>
      </c>
      <c r="E200" s="525">
        <v>742.2</v>
      </c>
      <c r="F200" s="525">
        <v>52.28</v>
      </c>
      <c r="G200" s="512">
        <f>(E200/'Field recov'!F200)+(F200/'Field recov'!G200)</f>
        <v>913.1157575757577</v>
      </c>
      <c r="H200" s="525">
        <v>24720</v>
      </c>
      <c r="I200" s="525">
        <v>6080</v>
      </c>
      <c r="J200" s="512">
        <f>(H200/'Field recov'!J200)+(I200/'Field recov'!K200)</f>
        <v>35000</v>
      </c>
      <c r="K200" s="509">
        <f t="shared" si="22"/>
        <v>39139.12484848485</v>
      </c>
      <c r="L200" s="518">
        <f>(E200/'Field recov'!F200)/2+(F200/'Field recov'!G200)</f>
        <v>491.41121212121215</v>
      </c>
      <c r="M200" s="511"/>
      <c r="N200" s="521" t="s">
        <v>464</v>
      </c>
      <c r="O200" s="521">
        <v>51.62</v>
      </c>
      <c r="P200" s="521">
        <v>1.889</v>
      </c>
      <c r="Q200" s="513">
        <f>(P200*29)/('Field recov'!V200*2)</f>
        <v>130.4309523809524</v>
      </c>
      <c r="R200" s="521" t="s">
        <v>464</v>
      </c>
      <c r="S200" s="512">
        <f>0.5</f>
        <v>0.5</v>
      </c>
      <c r="T200" s="525" t="s">
        <v>464</v>
      </c>
      <c r="U200" s="525" t="s">
        <v>464</v>
      </c>
      <c r="V200" s="512">
        <f>0.5+0.5</f>
        <v>1</v>
      </c>
      <c r="W200" s="525">
        <v>116.3</v>
      </c>
      <c r="X200" s="525">
        <v>135.2</v>
      </c>
      <c r="Y200" s="540">
        <f>(W200/'Field recov'!AG200)+(X200/'Field recov'!AH200)</f>
        <v>375.37313432835816</v>
      </c>
      <c r="Z200" s="525">
        <v>991.8</v>
      </c>
      <c r="AA200" s="525">
        <v>1345</v>
      </c>
      <c r="AB200" s="512">
        <f>(Z200/'Field recov'!AK200)+(AA200/'Field recov'!AL200)</f>
        <v>2625.61797752809</v>
      </c>
      <c r="AC200" s="540">
        <f t="shared" si="23"/>
        <v>3001.991111856448</v>
      </c>
      <c r="AD200" s="517">
        <f t="shared" si="15"/>
        <v>42141.115960341296</v>
      </c>
      <c r="AE200" s="518">
        <f>IF(OR(M200&lt;&gt;"",N200&lt;&gt;"",O200&lt;&gt;""),SUM(M200/'Field recov'!Q200,1/2,O200/'Field recov'!T200),"")</f>
        <v>67.53896103896103</v>
      </c>
      <c r="AF200" s="518">
        <f t="shared" si="21"/>
        <v>0.5</v>
      </c>
      <c r="AG200" s="518">
        <f t="shared" si="19"/>
        <v>3001.991111856448</v>
      </c>
      <c r="AH200" s="518">
        <f>IF(N200&lt;&gt;"",IF(N200="&lt;LOQ",1/2,N200/'Field recov'!R200))</f>
        <v>0.5</v>
      </c>
      <c r="AI200" s="518">
        <f t="shared" si="16"/>
        <v>38493.40232397766</v>
      </c>
      <c r="AJ200" s="624">
        <v>0.277</v>
      </c>
      <c r="AK200" s="508">
        <f>AD200/AJ200</f>
        <v>152133.99263661116</v>
      </c>
      <c r="AL200" s="508">
        <f>AE200/AJ200</f>
        <v>243.8229640395705</v>
      </c>
      <c r="AM200" s="508">
        <f>AF200/AJ200</f>
        <v>1.8050541516245486</v>
      </c>
      <c r="AN200" s="508">
        <f>IF(AG200&lt;&gt;"",AG200/AJ200)</f>
        <v>10837.51303919295</v>
      </c>
      <c r="AO200" s="508">
        <f>AH200/AJ200</f>
        <v>1.8050541516245486</v>
      </c>
      <c r="AP200" s="508">
        <f t="shared" si="24"/>
        <v>470.8698641911638</v>
      </c>
      <c r="AR200" s="508">
        <f t="shared" si="20"/>
        <v>138965.35135009984</v>
      </c>
    </row>
    <row r="201" spans="1:44" ht="12.75">
      <c r="A201" s="522" t="s">
        <v>145</v>
      </c>
      <c r="B201" s="525"/>
      <c r="C201" s="525"/>
      <c r="D201" s="512"/>
      <c r="E201" s="525"/>
      <c r="F201" s="525"/>
      <c r="G201" s="512"/>
      <c r="H201" s="525"/>
      <c r="I201" s="525"/>
      <c r="J201" s="512"/>
      <c r="K201" s="509"/>
      <c r="L201" s="518"/>
      <c r="M201" s="511"/>
      <c r="N201" s="521"/>
      <c r="O201" s="521"/>
      <c r="P201" s="521"/>
      <c r="Q201" s="513"/>
      <c r="R201" s="521"/>
      <c r="S201" s="512"/>
      <c r="T201" s="525"/>
      <c r="U201" s="525"/>
      <c r="V201" s="512"/>
      <c r="W201" s="525"/>
      <c r="X201" s="525"/>
      <c r="Y201" s="540"/>
      <c r="Z201" s="525"/>
      <c r="AA201" s="525"/>
      <c r="AB201" s="512"/>
      <c r="AC201" s="540"/>
      <c r="AD201" s="517"/>
      <c r="AE201" s="518"/>
      <c r="AF201" s="518"/>
      <c r="AG201" s="518"/>
      <c r="AH201" s="518"/>
      <c r="AI201" s="518">
        <f t="shared" si="16"/>
      </c>
      <c r="AJ201" s="621" t="s">
        <v>110</v>
      </c>
      <c r="AK201" s="508"/>
      <c r="AL201" s="508"/>
      <c r="AM201" s="508"/>
      <c r="AN201" s="508"/>
      <c r="AO201" s="508"/>
      <c r="AP201" s="508"/>
      <c r="AR201" s="508">
        <f t="shared" si="20"/>
      </c>
    </row>
    <row r="202" spans="1:44" ht="12.75">
      <c r="A202" s="522" t="s">
        <v>146</v>
      </c>
      <c r="B202" s="525">
        <v>4786</v>
      </c>
      <c r="C202" s="525">
        <v>10130</v>
      </c>
      <c r="D202" s="512">
        <f>(B202/'Field recov'!B202)+(C202/'Field recov'!C202)</f>
        <v>16950</v>
      </c>
      <c r="E202" s="525">
        <v>9834</v>
      </c>
      <c r="F202" s="525">
        <v>9365</v>
      </c>
      <c r="G202" s="512">
        <f>(E202/'Field recov'!F202)+(F202/'Field recov'!G202)</f>
        <v>21817.045454545456</v>
      </c>
      <c r="H202" s="525">
        <v>31730</v>
      </c>
      <c r="I202" s="525">
        <v>4244</v>
      </c>
      <c r="J202" s="512">
        <f>(H202/'Field recov'!J202)+(I202/'Field recov'!K202)</f>
        <v>40879.545454545456</v>
      </c>
      <c r="K202" s="509">
        <f t="shared" si="22"/>
        <v>79646.59090909091</v>
      </c>
      <c r="L202" s="518">
        <f>(E202/'Field recov'!F202)/2+(F202/'Field recov'!G202)</f>
        <v>16229.545454545454</v>
      </c>
      <c r="M202" s="511"/>
      <c r="N202" s="521" t="s">
        <v>464</v>
      </c>
      <c r="O202" s="521">
        <v>4349</v>
      </c>
      <c r="P202" s="521">
        <v>3.5140000000000002</v>
      </c>
      <c r="Q202" s="513">
        <f>(P202*29)/('Field recov'!V202*2)</f>
        <v>74.93088235294118</v>
      </c>
      <c r="R202" s="521">
        <v>22.3</v>
      </c>
      <c r="S202" s="512">
        <f>(R202*2)/'Field recov'!AA202</f>
        <v>74.33333333333334</v>
      </c>
      <c r="T202" s="525">
        <v>143.6</v>
      </c>
      <c r="U202" s="525">
        <v>787</v>
      </c>
      <c r="V202" s="512">
        <f>(T202/'Field recov'!AC202)+(U202/'Field recov'!AD202)</f>
        <v>1098.5980211303036</v>
      </c>
      <c r="W202" s="525">
        <v>45.39</v>
      </c>
      <c r="X202" s="525">
        <v>31.39</v>
      </c>
      <c r="Y202" s="540">
        <f>(W202/'Field recov'!AG202)+(X202/'Field recov'!AH202)</f>
        <v>114.59701492537312</v>
      </c>
      <c r="Z202" s="525">
        <v>32.36</v>
      </c>
      <c r="AA202" s="525">
        <v>4.001</v>
      </c>
      <c r="AB202" s="512">
        <f>(Z202/'Field recov'!AK202)+(AA202/'Field recov'!AL202)</f>
        <v>54.27014925373134</v>
      </c>
      <c r="AC202" s="540">
        <f t="shared" si="23"/>
        <v>1267.4651853094078</v>
      </c>
      <c r="AD202" s="517">
        <f t="shared" si="15"/>
        <v>80914.05609440032</v>
      </c>
      <c r="AE202" s="518">
        <f>IF(OR(M202&lt;&gt;"",N202&lt;&gt;"",O202&lt;&gt;""),SUM(M202/'Field recov'!Q202,1/2,O202/'Field recov'!T202),"")</f>
        <v>4349.5</v>
      </c>
      <c r="AF202" s="518">
        <f t="shared" si="21"/>
        <v>74.33333333333334</v>
      </c>
      <c r="AG202" s="518">
        <f t="shared" si="19"/>
        <v>1267.4651853094078</v>
      </c>
      <c r="AH202" s="518">
        <f>IF(N202&lt;&gt;"",IF(N202="&lt;LOQ",1/2,N202/'Field recov'!R202))</f>
        <v>0.5</v>
      </c>
      <c r="AI202" s="518">
        <f t="shared" si="16"/>
        <v>58376.55609440032</v>
      </c>
      <c r="AJ202" s="624">
        <v>0.267</v>
      </c>
      <c r="AK202" s="508">
        <f>AD202/AJ202</f>
        <v>303048.8992299637</v>
      </c>
      <c r="AL202" s="508">
        <f>AE202/AJ202</f>
        <v>16290.262172284643</v>
      </c>
      <c r="AM202" s="508">
        <f>AF202/AJ202</f>
        <v>278.4019975031211</v>
      </c>
      <c r="AN202" s="508">
        <f>IF(AG202&lt;&gt;"",AG202/AJ202)</f>
        <v>4747.060619136359</v>
      </c>
      <c r="AO202" s="508">
        <f>AH202/AJ202</f>
        <v>1.8726591760299625</v>
      </c>
      <c r="AP202" s="508">
        <f t="shared" si="24"/>
        <v>280.64000881251377</v>
      </c>
      <c r="AR202" s="508">
        <f t="shared" si="20"/>
        <v>218638.78687041317</v>
      </c>
    </row>
    <row r="203" spans="1:44" ht="12.75">
      <c r="A203" s="522" t="s">
        <v>147</v>
      </c>
      <c r="B203" s="525"/>
      <c r="C203" s="525"/>
      <c r="D203" s="512"/>
      <c r="E203" s="525"/>
      <c r="F203" s="525"/>
      <c r="G203" s="512"/>
      <c r="H203" s="525"/>
      <c r="I203" s="525"/>
      <c r="J203" s="512"/>
      <c r="K203" s="509"/>
      <c r="L203" s="518"/>
      <c r="M203" s="511"/>
      <c r="N203" s="521"/>
      <c r="O203" s="521"/>
      <c r="P203" s="521"/>
      <c r="Q203" s="513"/>
      <c r="R203" s="521"/>
      <c r="S203" s="512"/>
      <c r="T203" s="525"/>
      <c r="U203" s="525"/>
      <c r="V203" s="512"/>
      <c r="W203" s="525"/>
      <c r="X203" s="525"/>
      <c r="Y203" s="540"/>
      <c r="Z203" s="525"/>
      <c r="AA203" s="525"/>
      <c r="AB203" s="512"/>
      <c r="AC203" s="540"/>
      <c r="AD203" s="517"/>
      <c r="AE203" s="518"/>
      <c r="AF203" s="518"/>
      <c r="AG203" s="518"/>
      <c r="AH203" s="518"/>
      <c r="AI203" s="518">
        <f t="shared" si="16"/>
      </c>
      <c r="AJ203" s="621" t="s">
        <v>110</v>
      </c>
      <c r="AK203" s="508"/>
      <c r="AL203" s="508"/>
      <c r="AM203" s="508"/>
      <c r="AN203" s="508"/>
      <c r="AO203" s="508"/>
      <c r="AP203" s="508"/>
      <c r="AR203" s="508">
        <f t="shared" si="20"/>
      </c>
    </row>
    <row r="204" spans="1:44" ht="12.75">
      <c r="A204" s="522" t="s">
        <v>148</v>
      </c>
      <c r="B204" s="525">
        <v>1289</v>
      </c>
      <c r="C204" s="525">
        <v>1086</v>
      </c>
      <c r="D204" s="512">
        <f>(B204/'Field recov'!B204)+(C204/'Field recov'!C204)</f>
        <v>2698.863636363636</v>
      </c>
      <c r="E204" s="525">
        <v>817.1</v>
      </c>
      <c r="F204" s="525">
        <v>667.2</v>
      </c>
      <c r="G204" s="512">
        <f>(E204/'Field recov'!F204)+(F204/'Field recov'!G204)</f>
        <v>1686.7045454545455</v>
      </c>
      <c r="H204" s="525">
        <v>9128</v>
      </c>
      <c r="I204" s="525">
        <v>16190</v>
      </c>
      <c r="J204" s="512">
        <f>(H204/'Field recov'!J204)+(I204/'Field recov'!K204)</f>
        <v>28770.454545454544</v>
      </c>
      <c r="K204" s="509">
        <f t="shared" si="22"/>
        <v>33156.02272727273</v>
      </c>
      <c r="L204" s="518">
        <f>(E204/'Field recov'!F204)/2+(F204/'Field recov'!G204)</f>
        <v>1222.443181818182</v>
      </c>
      <c r="M204" s="511"/>
      <c r="N204" s="521" t="s">
        <v>464</v>
      </c>
      <c r="O204" s="521">
        <v>6519</v>
      </c>
      <c r="P204" s="521">
        <v>3.581</v>
      </c>
      <c r="Q204" s="513">
        <f>(P204*29)/('Field recov'!V204*2)</f>
        <v>76.35955882352941</v>
      </c>
      <c r="R204" s="521">
        <v>5.359</v>
      </c>
      <c r="S204" s="512">
        <f>(R204*2)/'Field recov'!AA204</f>
        <v>17.863333333333333</v>
      </c>
      <c r="T204" s="525">
        <v>5.757</v>
      </c>
      <c r="U204" s="525">
        <v>1.598</v>
      </c>
      <c r="V204" s="512">
        <f>(T204/'Field recov'!AC204)+(U204/'Field recov'!AD204)</f>
        <v>10.977611940298507</v>
      </c>
      <c r="W204" s="525">
        <v>30.9</v>
      </c>
      <c r="X204" s="525">
        <v>13.93</v>
      </c>
      <c r="Y204" s="540">
        <f>(W204/'Field recov'!AG204)+(X204/'Field recov'!AH204)</f>
        <v>66.91044776119402</v>
      </c>
      <c r="Z204" s="525">
        <v>40.31</v>
      </c>
      <c r="AA204" s="525">
        <v>126.2</v>
      </c>
      <c r="AB204" s="512">
        <f>(Z204/'Field recov'!AK204)+(AA204/'Field recov'!AL204)</f>
        <v>248.52238805970148</v>
      </c>
      <c r="AC204" s="540">
        <f t="shared" si="23"/>
        <v>326.410447761194</v>
      </c>
      <c r="AD204" s="517">
        <f t="shared" si="15"/>
        <v>33482.43317503392</v>
      </c>
      <c r="AE204" s="518">
        <f>IF(OR(M204&lt;&gt;"",N204&lt;&gt;"",O204&lt;&gt;""),SUM(M204/'Field recov'!Q204,1/2,O204/'Field recov'!T204),"")</f>
        <v>6519.5</v>
      </c>
      <c r="AF204" s="518">
        <f t="shared" si="21"/>
        <v>17.863333333333333</v>
      </c>
      <c r="AG204" s="518">
        <f t="shared" si="19"/>
        <v>326.410447761194</v>
      </c>
      <c r="AH204" s="518">
        <f>IF(N204&lt;&gt;"",IF(N204="&lt;LOQ",1/2,N204/'Field recov'!R204))</f>
        <v>0.5</v>
      </c>
      <c r="AI204" s="518">
        <f t="shared" si="16"/>
        <v>30319.308175033922</v>
      </c>
      <c r="AJ204" s="624">
        <v>0.719</v>
      </c>
      <c r="AK204" s="508">
        <f>AD204/AJ204</f>
        <v>46568.05726708473</v>
      </c>
      <c r="AL204" s="508">
        <f>AE204/AJ204</f>
        <v>9067.454798331015</v>
      </c>
      <c r="AM204" s="508">
        <f>AF204/AJ204</f>
        <v>24.84469170143718</v>
      </c>
      <c r="AN204" s="508">
        <f>IF(AG204&lt;&gt;"",AG204/AJ204)</f>
        <v>453.9783696261391</v>
      </c>
      <c r="AO204" s="508">
        <f>AH204/AJ204</f>
        <v>0.6954102920723227</v>
      </c>
      <c r="AP204" s="508">
        <f t="shared" si="24"/>
        <v>106.20244620796859</v>
      </c>
      <c r="AR204" s="508">
        <f t="shared" si="20"/>
        <v>42168.7179068622</v>
      </c>
    </row>
    <row r="205" spans="1:44" s="536" customFormat="1" ht="12.75">
      <c r="A205" s="539" t="s">
        <v>559</v>
      </c>
      <c r="B205" s="526"/>
      <c r="C205" s="526"/>
      <c r="D205" s="516"/>
      <c r="E205" s="526"/>
      <c r="F205" s="526"/>
      <c r="G205" s="516"/>
      <c r="H205" s="526"/>
      <c r="I205" s="526"/>
      <c r="J205" s="516"/>
      <c r="K205" s="527"/>
      <c r="L205" s="527"/>
      <c r="M205" s="519"/>
      <c r="N205" s="519"/>
      <c r="O205" s="519"/>
      <c r="P205" s="514"/>
      <c r="Q205" s="596"/>
      <c r="R205" s="515"/>
      <c r="S205" s="516"/>
      <c r="T205" s="526"/>
      <c r="U205" s="526"/>
      <c r="V205" s="516"/>
      <c r="W205" s="526"/>
      <c r="X205" s="526"/>
      <c r="Y205" s="530"/>
      <c r="Z205" s="526"/>
      <c r="AA205" s="526"/>
      <c r="AB205" s="516"/>
      <c r="AC205" s="530"/>
      <c r="AD205" s="516"/>
      <c r="AE205" s="527"/>
      <c r="AF205" s="527"/>
      <c r="AG205" s="527"/>
      <c r="AH205" s="527"/>
      <c r="AI205" s="527">
        <f t="shared" si="16"/>
      </c>
      <c r="AJ205" s="620" t="s">
        <v>110</v>
      </c>
      <c r="AK205" s="561"/>
      <c r="AL205" s="561" t="s">
        <v>110</v>
      </c>
      <c r="AM205" s="561"/>
      <c r="AN205" s="561"/>
      <c r="AO205" s="561"/>
      <c r="AP205" s="561"/>
      <c r="AR205" s="561">
        <f t="shared" si="20"/>
      </c>
    </row>
    <row r="206" spans="1:44" ht="12.75">
      <c r="A206" s="522" t="s">
        <v>560</v>
      </c>
      <c r="B206" s="525">
        <v>1027</v>
      </c>
      <c r="C206" s="525">
        <v>1349</v>
      </c>
      <c r="D206" s="512">
        <f>(B206/'Field recov'!B206)+(C206/'Field recov'!C206)</f>
        <v>2795.2941176470586</v>
      </c>
      <c r="E206" s="525">
        <v>795.6</v>
      </c>
      <c r="F206" s="525">
        <v>307.9</v>
      </c>
      <c r="G206" s="512">
        <f>(E206/'Field recov'!F206)+(F206/'Field recov'!G206)</f>
        <v>1375.857142857143</v>
      </c>
      <c r="H206" s="525">
        <v>4897</v>
      </c>
      <c r="I206" s="525">
        <v>25160</v>
      </c>
      <c r="J206" s="512">
        <f>(H206/'Field recov'!J206)+(I206/'Field recov'!K206)</f>
        <v>35361.17647058824</v>
      </c>
      <c r="K206" s="509">
        <f t="shared" si="22"/>
        <v>39532.32773109244</v>
      </c>
      <c r="L206" s="518">
        <f>(E206/'Field recov'!F206)/2+(F206/'Field recov'!G206)</f>
        <v>907.8571428571429</v>
      </c>
      <c r="M206" s="520"/>
      <c r="N206" s="521">
        <v>4.547</v>
      </c>
      <c r="O206" s="521">
        <v>1571</v>
      </c>
      <c r="P206" s="521">
        <v>13.72</v>
      </c>
      <c r="Q206" s="513">
        <f>(P206*29)/('Field recov'!V206*2)</f>
        <v>226.0681818181818</v>
      </c>
      <c r="R206" s="521">
        <v>15.12</v>
      </c>
      <c r="S206" s="512">
        <f>(R206*2)/'Field recov'!AA206</f>
        <v>41.42465753424658</v>
      </c>
      <c r="T206" s="525">
        <v>4.23</v>
      </c>
      <c r="U206" s="525">
        <v>17.43</v>
      </c>
      <c r="V206" s="512">
        <f>(T206/'Field recov'!AC206)+(U206/'Field recov'!AD206)</f>
        <v>24.066666666666666</v>
      </c>
      <c r="W206" s="525">
        <v>23.42</v>
      </c>
      <c r="X206" s="525">
        <v>24.25</v>
      </c>
      <c r="Y206" s="540">
        <f>(W206/'Field recov'!AG206)+(X206/'Field recov'!AH206)</f>
        <v>52.96666666666667</v>
      </c>
      <c r="Z206" s="525">
        <v>27.58</v>
      </c>
      <c r="AA206" s="632">
        <v>24.3</v>
      </c>
      <c r="AB206" s="512">
        <f>(Z206/'Field recov'!AK206)+(AA206/'Field recov'!AL206)</f>
        <v>57.644444444444446</v>
      </c>
      <c r="AC206" s="540">
        <f t="shared" si="23"/>
        <v>134.67777777777778</v>
      </c>
      <c r="AD206" s="517">
        <f t="shared" si="15"/>
        <v>39667.005508870214</v>
      </c>
      <c r="AE206" s="518">
        <f>IF(OR(M206&lt;&gt;"",N206&lt;&gt;"",O206&lt;&gt;""),SUM(M206/'Field recov'!Q206,N206/'Field recov'!R206,O206/'Field recov'!T206),"")</f>
        <v>1790.9829689298044</v>
      </c>
      <c r="AF206" s="518">
        <f t="shared" si="21"/>
        <v>41.42465753424658</v>
      </c>
      <c r="AG206" s="518">
        <f t="shared" si="19"/>
        <v>134.67777777777778</v>
      </c>
      <c r="AH206" s="518">
        <f>IF(N206&lt;&gt;"",N206/'Field recov'!R206)</f>
        <v>5.755696202531645</v>
      </c>
      <c r="AI206" s="518">
        <f t="shared" si="16"/>
        <v>36403.71139122316</v>
      </c>
      <c r="AJ206" s="624">
        <v>0.444</v>
      </c>
      <c r="AK206" s="508">
        <f>AD206/AJ206</f>
        <v>89340.10249745543</v>
      </c>
      <c r="AL206" s="508">
        <f>AE206/AJ206</f>
        <v>4033.7454255175776</v>
      </c>
      <c r="AM206" s="508">
        <f>AF206/AJ206</f>
        <v>93.29877823028508</v>
      </c>
      <c r="AN206" s="508">
        <f>IF(AG206&lt;&gt;"",AG206/AJ206)</f>
        <v>303.3283283283283</v>
      </c>
      <c r="AO206" s="508">
        <f>AH206/AJ206</f>
        <v>12.963279735431634</v>
      </c>
      <c r="AP206" s="508">
        <f t="shared" si="24"/>
        <v>509.1625716625716</v>
      </c>
      <c r="AR206" s="508">
        <f t="shared" si="20"/>
        <v>81990.34097122333</v>
      </c>
    </row>
    <row r="207" spans="1:44" ht="12.75">
      <c r="A207" s="522" t="s">
        <v>561</v>
      </c>
      <c r="B207" s="525"/>
      <c r="C207" s="525"/>
      <c r="D207" s="512"/>
      <c r="E207" s="525"/>
      <c r="F207" s="525"/>
      <c r="G207" s="512"/>
      <c r="H207" s="525"/>
      <c r="I207" s="525"/>
      <c r="J207" s="512"/>
      <c r="K207" s="509"/>
      <c r="L207" s="518"/>
      <c r="M207" s="520"/>
      <c r="N207" s="521"/>
      <c r="O207" s="521"/>
      <c r="P207" s="521"/>
      <c r="Q207" s="513"/>
      <c r="R207" s="521"/>
      <c r="S207" s="512"/>
      <c r="T207" s="525"/>
      <c r="U207" s="525"/>
      <c r="V207" s="512"/>
      <c r="W207" s="525"/>
      <c r="X207" s="525"/>
      <c r="Y207" s="540"/>
      <c r="Z207" s="525"/>
      <c r="AA207" s="525"/>
      <c r="AB207" s="512"/>
      <c r="AC207" s="540"/>
      <c r="AD207" s="517"/>
      <c r="AE207" s="518"/>
      <c r="AF207" s="518"/>
      <c r="AG207" s="518"/>
      <c r="AH207" s="518"/>
      <c r="AI207" s="518">
        <f t="shared" si="16"/>
      </c>
      <c r="AJ207" s="624" t="s">
        <v>110</v>
      </c>
      <c r="AK207" s="508"/>
      <c r="AL207" s="508"/>
      <c r="AM207" s="508"/>
      <c r="AN207" s="508"/>
      <c r="AO207" s="508"/>
      <c r="AP207" s="508"/>
      <c r="AR207" s="508">
        <f t="shared" si="20"/>
      </c>
    </row>
    <row r="208" spans="1:44" ht="12.75">
      <c r="A208" s="522" t="s">
        <v>562</v>
      </c>
      <c r="B208" s="525">
        <v>3677</v>
      </c>
      <c r="C208" s="525">
        <v>10020</v>
      </c>
      <c r="D208" s="512">
        <f>(B208/'Field recov'!B208)+(C208/'Field recov'!C208)</f>
        <v>16114.117647058823</v>
      </c>
      <c r="E208" s="525">
        <v>6599</v>
      </c>
      <c r="F208" s="525">
        <v>2313</v>
      </c>
      <c r="G208" s="512">
        <f>(E208/'Field recov'!F208)+(F208/'Field recov'!G208)</f>
        <v>10484.705882352942</v>
      </c>
      <c r="H208" s="525">
        <v>1731</v>
      </c>
      <c r="I208" s="525">
        <v>134800</v>
      </c>
      <c r="J208" s="512">
        <f>(H208/'Field recov'!J208)+(I208/'Field recov'!K208)</f>
        <v>160624.70588235295</v>
      </c>
      <c r="K208" s="509">
        <f t="shared" si="22"/>
        <v>187223.52941176473</v>
      </c>
      <c r="L208" s="518">
        <f>(E208/'Field recov'!F208)/2+(F208/'Field recov'!G208)</f>
        <v>6602.941176470589</v>
      </c>
      <c r="M208" s="520"/>
      <c r="N208" s="521">
        <v>7.767</v>
      </c>
      <c r="O208" s="521">
        <v>6953</v>
      </c>
      <c r="P208" s="521">
        <v>21.08</v>
      </c>
      <c r="Q208" s="513">
        <f>(P208*29)/('Field recov'!V208*2)</f>
        <v>347.34090909090907</v>
      </c>
      <c r="R208" s="521">
        <v>138.66</v>
      </c>
      <c r="S208" s="512">
        <f>(R208*2)/'Field recov'!AA208</f>
        <v>379.8904109589041</v>
      </c>
      <c r="T208" s="525">
        <v>9.94</v>
      </c>
      <c r="U208" s="525">
        <v>18.49</v>
      </c>
      <c r="V208" s="512">
        <f>(T208/'Field recov'!AC208)+(U208/'Field recov'!AD208)</f>
        <v>31.588888888888885</v>
      </c>
      <c r="W208" s="525">
        <v>75.27</v>
      </c>
      <c r="X208" s="525">
        <v>82.18</v>
      </c>
      <c r="Y208" s="540">
        <f>(W208/'Field recov'!AG208)+(X208/'Field recov'!AH208)</f>
        <v>174.94444444444446</v>
      </c>
      <c r="Z208" s="525">
        <v>2368</v>
      </c>
      <c r="AA208" s="525">
        <v>419.1</v>
      </c>
      <c r="AB208" s="512">
        <f>(Z208/'Field recov'!AK208)+(AA208/'Field recov'!AL208)</f>
        <v>2965</v>
      </c>
      <c r="AC208" s="540">
        <f t="shared" si="23"/>
        <v>3171.5333333333333</v>
      </c>
      <c r="AD208" s="517">
        <f t="shared" si="15"/>
        <v>190395.06274509805</v>
      </c>
      <c r="AE208" s="518">
        <f>IF(OR(M208&lt;&gt;"",N208&lt;&gt;"",O208&lt;&gt;""),SUM(M208/'Field recov'!Q208,N208/'Field recov'!R208,O208/'Field recov'!T208),"")</f>
        <v>7910.968009205984</v>
      </c>
      <c r="AF208" s="518">
        <f t="shared" si="21"/>
        <v>379.8904109589041</v>
      </c>
      <c r="AG208" s="518">
        <f t="shared" si="19"/>
        <v>3171.5333333333333</v>
      </c>
      <c r="AH208" s="518">
        <f>IF(N208&lt;&gt;"",N208/'Field recov'!R208)</f>
        <v>9.831645569620253</v>
      </c>
      <c r="AI208" s="518">
        <f t="shared" si="16"/>
        <v>170399.18039215688</v>
      </c>
      <c r="AJ208" s="624">
        <v>0.495</v>
      </c>
      <c r="AK208" s="508">
        <f>AD208/AJ208</f>
        <v>384636.4903941375</v>
      </c>
      <c r="AL208" s="508">
        <f>AE208/AJ208</f>
        <v>15981.753553951483</v>
      </c>
      <c r="AM208" s="508">
        <f>AF208/AJ208</f>
        <v>767.4553756745538</v>
      </c>
      <c r="AN208" s="508">
        <f>IF(AG208&lt;&gt;"",AG208/AJ208)</f>
        <v>6407.138047138047</v>
      </c>
      <c r="AO208" s="508">
        <f>AH208/AJ208</f>
        <v>19.86191024165708</v>
      </c>
      <c r="AP208" s="508">
        <f t="shared" si="24"/>
        <v>701.6988062442607</v>
      </c>
      <c r="AR208" s="508">
        <f t="shared" si="20"/>
        <v>344240.7684690038</v>
      </c>
    </row>
    <row r="209" spans="1:44" ht="12.75">
      <c r="A209" s="522" t="s">
        <v>563</v>
      </c>
      <c r="B209" s="525"/>
      <c r="C209" s="525"/>
      <c r="D209" s="512"/>
      <c r="E209" s="525"/>
      <c r="F209" s="525"/>
      <c r="G209" s="512"/>
      <c r="H209" s="525"/>
      <c r="I209" s="525"/>
      <c r="J209" s="512"/>
      <c r="K209" s="509"/>
      <c r="L209" s="518"/>
      <c r="M209" s="520"/>
      <c r="N209" s="521"/>
      <c r="O209" s="521"/>
      <c r="P209" s="521"/>
      <c r="Q209" s="513"/>
      <c r="R209" s="521"/>
      <c r="S209" s="512"/>
      <c r="T209" s="525"/>
      <c r="U209" s="525"/>
      <c r="V209" s="512"/>
      <c r="W209" s="525"/>
      <c r="X209" s="525"/>
      <c r="Y209" s="540"/>
      <c r="Z209" s="525"/>
      <c r="AA209" s="525"/>
      <c r="AB209" s="512"/>
      <c r="AC209" s="540"/>
      <c r="AD209" s="517"/>
      <c r="AE209" s="518"/>
      <c r="AF209" s="518"/>
      <c r="AG209" s="518"/>
      <c r="AH209" s="518"/>
      <c r="AI209" s="518">
        <f t="shared" si="16"/>
      </c>
      <c r="AJ209" s="624" t="s">
        <v>110</v>
      </c>
      <c r="AK209" s="508"/>
      <c r="AL209" s="508"/>
      <c r="AM209" s="508"/>
      <c r="AN209" s="508"/>
      <c r="AO209" s="508"/>
      <c r="AP209" s="508"/>
      <c r="AR209" s="508">
        <f t="shared" si="20"/>
      </c>
    </row>
    <row r="210" spans="1:44" ht="12.75">
      <c r="A210" s="522" t="s">
        <v>564</v>
      </c>
      <c r="B210" s="525">
        <v>40140</v>
      </c>
      <c r="C210" s="525">
        <v>157300</v>
      </c>
      <c r="D210" s="512">
        <f>(B210/'Field recov'!B210)+(C210/'Field recov'!C210)</f>
        <v>232282.35294117648</v>
      </c>
      <c r="E210" s="525">
        <v>91970</v>
      </c>
      <c r="F210" s="525">
        <v>52670</v>
      </c>
      <c r="G210" s="512">
        <f>(E210/'Field recov'!F210)+(F210/'Field recov'!G210)</f>
        <v>170164.70588235295</v>
      </c>
      <c r="H210" s="525">
        <v>286100</v>
      </c>
      <c r="I210" s="525">
        <v>220700</v>
      </c>
      <c r="J210" s="512">
        <f>(H210/'Field recov'!J210)+(I210/'Field recov'!K210)</f>
        <v>596235.2941176471</v>
      </c>
      <c r="K210" s="509">
        <f t="shared" si="22"/>
        <v>998682.3529411765</v>
      </c>
      <c r="L210" s="518">
        <f>(E210/'Field recov'!F210)/2+(F210/'Field recov'!G210)</f>
        <v>116064.70588235295</v>
      </c>
      <c r="M210" s="520"/>
      <c r="N210" s="521">
        <v>187.1</v>
      </c>
      <c r="O210" s="521">
        <v>23480</v>
      </c>
      <c r="P210" s="521">
        <v>16.52</v>
      </c>
      <c r="Q210" s="513">
        <f>(P210*29)/('Field recov'!V210*2)</f>
        <v>272.20454545454544</v>
      </c>
      <c r="R210" s="521">
        <v>252.8</v>
      </c>
      <c r="S210" s="512">
        <f>(R210*2)/'Field recov'!AA210</f>
        <v>505.6</v>
      </c>
      <c r="T210" s="525">
        <v>6660</v>
      </c>
      <c r="U210" s="525">
        <v>34460</v>
      </c>
      <c r="V210" s="512">
        <f>(T210/'Field recov'!AC210)+(U210/'Field recov'!AD210)</f>
        <v>43744.68085106383</v>
      </c>
      <c r="W210" s="525">
        <v>7109</v>
      </c>
      <c r="X210" s="525">
        <v>168.1</v>
      </c>
      <c r="Y210" s="540">
        <f>(W210/'Field recov'!AG210)+(X210/'Field recov'!AH210)</f>
        <v>7749.543735224586</v>
      </c>
      <c r="Z210" s="525">
        <v>27280</v>
      </c>
      <c r="AA210" s="525">
        <v>5631</v>
      </c>
      <c r="AB210" s="512">
        <f>(Z210/'Field recov'!AK210)+(AA210/'Field recov'!AL210)</f>
        <v>35011.70212765958</v>
      </c>
      <c r="AC210" s="540">
        <f t="shared" si="23"/>
        <v>86505.92671394799</v>
      </c>
      <c r="AD210" s="517">
        <f t="shared" si="15"/>
        <v>1085188.2796551245</v>
      </c>
      <c r="AE210" s="518">
        <f>IF(OR(M210&lt;&gt;"",N210&lt;&gt;"",O210&lt;&gt;""),SUM(M210/'Field recov'!Q210,N210/'Field recov'!R210,O210/'Field recov'!T210),"")</f>
        <v>26931.284848484847</v>
      </c>
      <c r="AF210" s="518">
        <f t="shared" si="21"/>
        <v>505.6</v>
      </c>
      <c r="AG210" s="518">
        <f t="shared" si="19"/>
        <v>86505.92671394799</v>
      </c>
      <c r="AH210" s="518">
        <f>IF(N210&lt;&gt;"",N210/'Field recov'!R210)</f>
        <v>249.46666666666667</v>
      </c>
      <c r="AI210" s="518">
        <f t="shared" si="16"/>
        <v>798805.926713948</v>
      </c>
      <c r="AJ210" s="624">
        <v>0.736</v>
      </c>
      <c r="AK210" s="508">
        <f>AD210/AJ210</f>
        <v>1474440.5973575062</v>
      </c>
      <c r="AL210" s="508">
        <f>AE210/AJ210</f>
        <v>36591.419631093544</v>
      </c>
      <c r="AM210" s="508">
        <f>AF210/AJ210</f>
        <v>686.9565217391305</v>
      </c>
      <c r="AN210" s="508">
        <f>IF(AG210&lt;&gt;"",AG210/AJ210)</f>
        <v>117535.2265135163</v>
      </c>
      <c r="AO210" s="508">
        <f>AH210/AJ210</f>
        <v>338.9492753623189</v>
      </c>
      <c r="AP210" s="508">
        <f t="shared" si="24"/>
        <v>369.8431324110672</v>
      </c>
      <c r="AR210" s="508">
        <f t="shared" si="20"/>
        <v>1085334.1395569947</v>
      </c>
    </row>
    <row r="211" spans="1:44" ht="12.75">
      <c r="A211" s="522" t="s">
        <v>565</v>
      </c>
      <c r="B211" s="525"/>
      <c r="C211" s="525"/>
      <c r="D211" s="512"/>
      <c r="E211" s="525"/>
      <c r="F211" s="525"/>
      <c r="G211" s="512"/>
      <c r="H211" s="525"/>
      <c r="I211" s="525"/>
      <c r="J211" s="512"/>
      <c r="K211" s="509"/>
      <c r="L211" s="518"/>
      <c r="M211" s="520"/>
      <c r="N211" s="521"/>
      <c r="O211" s="521"/>
      <c r="P211" s="521"/>
      <c r="Q211" s="513"/>
      <c r="R211" s="521"/>
      <c r="S211" s="512"/>
      <c r="T211" s="525"/>
      <c r="U211" s="525"/>
      <c r="V211" s="512"/>
      <c r="W211" s="525"/>
      <c r="X211" s="525"/>
      <c r="Y211" s="540"/>
      <c r="Z211" s="525"/>
      <c r="AA211" s="525"/>
      <c r="AB211" s="512"/>
      <c r="AC211" s="540"/>
      <c r="AD211" s="517"/>
      <c r="AE211" s="518"/>
      <c r="AF211" s="518"/>
      <c r="AG211" s="518"/>
      <c r="AH211" s="518"/>
      <c r="AI211" s="518">
        <f t="shared" si="16"/>
      </c>
      <c r="AJ211" s="624" t="s">
        <v>110</v>
      </c>
      <c r="AK211" s="508"/>
      <c r="AL211" s="508"/>
      <c r="AM211" s="508"/>
      <c r="AN211" s="508"/>
      <c r="AO211" s="508"/>
      <c r="AP211" s="508"/>
      <c r="AR211" s="508">
        <f t="shared" si="20"/>
      </c>
    </row>
    <row r="212" spans="1:44" ht="12.75">
      <c r="A212" s="522" t="s">
        <v>156</v>
      </c>
      <c r="B212" s="525">
        <v>24660</v>
      </c>
      <c r="C212" s="525">
        <v>55660</v>
      </c>
      <c r="D212" s="512">
        <f>(B212/'Field recov'!B212)+(C212/'Field recov'!C212)</f>
        <v>94494.11764705883</v>
      </c>
      <c r="E212" s="525">
        <v>17560</v>
      </c>
      <c r="F212" s="525">
        <v>3522</v>
      </c>
      <c r="G212" s="512">
        <f>(E212/'Field recov'!F212)+(F212/'Field recov'!G212)</f>
        <v>24802.352941176472</v>
      </c>
      <c r="H212" s="525">
        <v>138400</v>
      </c>
      <c r="I212" s="525">
        <v>79240</v>
      </c>
      <c r="J212" s="512">
        <f>(H212/'Field recov'!J212)+(I212/'Field recov'!K212)</f>
        <v>256047.0588235294</v>
      </c>
      <c r="K212" s="509">
        <f t="shared" si="22"/>
        <v>375343.5294117647</v>
      </c>
      <c r="L212" s="518">
        <f>(E212/'Field recov'!F212)/2+(F212/'Field recov'!G212)</f>
        <v>14472.94117647059</v>
      </c>
      <c r="M212" s="520"/>
      <c r="N212" s="521">
        <v>2.34</v>
      </c>
      <c r="O212" s="521">
        <v>41910</v>
      </c>
      <c r="P212" s="521">
        <v>20.93</v>
      </c>
      <c r="Q212" s="513">
        <f>(P212*29)/('Field recov'!V212*1.95)</f>
        <v>353.71212121212125</v>
      </c>
      <c r="R212" s="521"/>
      <c r="S212" s="512"/>
      <c r="T212" s="525">
        <v>883.5</v>
      </c>
      <c r="U212" s="525">
        <v>79.63</v>
      </c>
      <c r="V212" s="512">
        <f>(T212/'Field recov'!AC212)+(U212/'Field recov'!AD212)</f>
        <v>1028.3713947990545</v>
      </c>
      <c r="W212" s="525">
        <v>518.1</v>
      </c>
      <c r="X212" s="525">
        <v>277.1</v>
      </c>
      <c r="Y212" s="540">
        <f>(W212/'Field recov'!AG212)+(X212/'Field recov'!AH212)</f>
        <v>845.9574468085108</v>
      </c>
      <c r="Z212" s="525">
        <v>115.3</v>
      </c>
      <c r="AA212" s="525">
        <v>640.4</v>
      </c>
      <c r="AB212" s="512">
        <f>(Z212/'Field recov'!AK212)+(AA212/'Field recov'!AL212)</f>
        <v>809.387706855792</v>
      </c>
      <c r="AC212" s="540">
        <f t="shared" si="23"/>
        <v>2683.716548463357</v>
      </c>
      <c r="AD212" s="517">
        <f t="shared" si="15"/>
        <v>378027.245960228</v>
      </c>
      <c r="AE212" s="518">
        <f>IF(OR(M212&lt;&gt;"",N212&lt;&gt;"",O212&lt;&gt;""),SUM(M212/'Field recov'!Q212,N212/'Field recov'!R212,O212/'Field recov'!T212),"")</f>
        <v>47627.962025316454</v>
      </c>
      <c r="AF212" s="518"/>
      <c r="AG212" s="518">
        <f aca="true" t="shared" si="25" ref="AG212:AG274">AC212</f>
        <v>2683.716548463357</v>
      </c>
      <c r="AH212" s="518">
        <f>IF(N212&lt;&gt;"",N212/'Field recov'!R212)</f>
        <v>2.962025316455696</v>
      </c>
      <c r="AI212" s="518">
        <f t="shared" si="16"/>
        <v>273203.71654846333</v>
      </c>
      <c r="AJ212" s="621">
        <v>1.05</v>
      </c>
      <c r="AK212" s="508">
        <f>AD212/AJ212</f>
        <v>360025.9485335505</v>
      </c>
      <c r="AL212" s="508">
        <f>AE212/AJ212</f>
        <v>45359.96383363471</v>
      </c>
      <c r="AM212" s="508"/>
      <c r="AN212" s="508">
        <f>IF(AG212&lt;&gt;"",AG212/AJ212)</f>
        <v>2555.920522346054</v>
      </c>
      <c r="AO212" s="508">
        <f>AH212/AJ212</f>
        <v>2.8209764918625675</v>
      </c>
      <c r="AP212" s="508">
        <f t="shared" si="24"/>
        <v>336.8686868686869</v>
      </c>
      <c r="AR212" s="508">
        <f t="shared" si="20"/>
        <v>260194.01576044125</v>
      </c>
    </row>
    <row r="213" spans="1:44" ht="12.75">
      <c r="A213" s="522" t="s">
        <v>157</v>
      </c>
      <c r="B213" s="525"/>
      <c r="C213" s="525"/>
      <c r="D213" s="512"/>
      <c r="E213" s="525"/>
      <c r="F213" s="525"/>
      <c r="G213" s="512"/>
      <c r="H213" s="525"/>
      <c r="I213" s="525"/>
      <c r="J213" s="512"/>
      <c r="K213" s="509"/>
      <c r="L213" s="518"/>
      <c r="M213" s="520"/>
      <c r="N213" s="521"/>
      <c r="O213" s="521"/>
      <c r="P213" s="521"/>
      <c r="Q213" s="513"/>
      <c r="R213" s="521"/>
      <c r="S213" s="512"/>
      <c r="T213" s="525"/>
      <c r="U213" s="525"/>
      <c r="V213" s="512"/>
      <c r="W213" s="525"/>
      <c r="X213" s="525"/>
      <c r="Y213" s="540"/>
      <c r="Z213" s="525"/>
      <c r="AA213" s="525"/>
      <c r="AB213" s="512"/>
      <c r="AC213" s="540"/>
      <c r="AD213" s="517"/>
      <c r="AE213" s="518"/>
      <c r="AF213" s="518"/>
      <c r="AG213" s="518"/>
      <c r="AH213" s="518"/>
      <c r="AI213" s="518">
        <f t="shared" si="16"/>
      </c>
      <c r="AJ213" s="624" t="s">
        <v>110</v>
      </c>
      <c r="AK213" s="508"/>
      <c r="AL213" s="508"/>
      <c r="AM213" s="508"/>
      <c r="AN213" s="508"/>
      <c r="AO213" s="508"/>
      <c r="AP213" s="508"/>
      <c r="AR213" s="508">
        <f t="shared" si="20"/>
      </c>
    </row>
    <row r="214" spans="1:44" ht="12.75">
      <c r="A214" s="522" t="s">
        <v>158</v>
      </c>
      <c r="B214" s="525">
        <v>813.1</v>
      </c>
      <c r="C214" s="525">
        <v>2043</v>
      </c>
      <c r="D214" s="512">
        <f>(B214/'Field recov'!B214)+(C214/'Field recov'!C214)</f>
        <v>3360.1176470588234</v>
      </c>
      <c r="E214" s="525">
        <v>596.2</v>
      </c>
      <c r="F214" s="525">
        <v>408.3</v>
      </c>
      <c r="G214" s="512">
        <f>(E214/'Field recov'!F214)+(F214/'Field recov'!G214)</f>
        <v>1284.6974789915967</v>
      </c>
      <c r="H214" s="525">
        <v>3357</v>
      </c>
      <c r="I214" s="525">
        <v>21970</v>
      </c>
      <c r="J214" s="512">
        <f>(H214/'Field recov'!J214)+(I214/'Field recov'!K214)</f>
        <v>29796.470588235294</v>
      </c>
      <c r="K214" s="509">
        <f t="shared" si="22"/>
        <v>34441.28571428571</v>
      </c>
      <c r="L214" s="518">
        <f>(E214/'Field recov'!F214)/2+(F214/'Field recov'!G214)</f>
        <v>933.9915966386556</v>
      </c>
      <c r="M214" s="520"/>
      <c r="N214" s="633">
        <v>8.7</v>
      </c>
      <c r="O214" s="521">
        <v>4297</v>
      </c>
      <c r="P214" s="633">
        <v>8.67</v>
      </c>
      <c r="Q214" s="513">
        <f>(P214*29)/('Field recov'!V214*2)</f>
        <v>142.85795454545456</v>
      </c>
      <c r="R214" s="521">
        <v>20.07</v>
      </c>
      <c r="S214" s="512">
        <f>(R214*2)/'Field recov'!AA214</f>
        <v>54.986301369863014</v>
      </c>
      <c r="T214" s="525">
        <v>14.12</v>
      </c>
      <c r="U214" s="525">
        <v>56.08</v>
      </c>
      <c r="V214" s="512">
        <f>(T214/'Field recov'!AC214)+(U214/'Field recov'!AD214)</f>
        <v>78</v>
      </c>
      <c r="W214" s="525">
        <v>129.2</v>
      </c>
      <c r="X214" s="525">
        <v>35.46</v>
      </c>
      <c r="Y214" s="540">
        <f>(W214/'Field recov'!AG214)+(X214/'Field recov'!AH214)</f>
        <v>182.95555555555555</v>
      </c>
      <c r="Z214" s="525">
        <v>34.49</v>
      </c>
      <c r="AA214" s="525">
        <v>36.75</v>
      </c>
      <c r="AB214" s="512">
        <f>(Z214/'Field recov'!AK214)+(AA214/'Field recov'!AL214)</f>
        <v>79.15555555555557</v>
      </c>
      <c r="AC214" s="540">
        <f t="shared" si="23"/>
        <v>340.1111111111111</v>
      </c>
      <c r="AD214" s="517">
        <f t="shared" si="15"/>
        <v>34781.39682539682</v>
      </c>
      <c r="AE214" s="518">
        <f>IF(OR(M214&lt;&gt;"",N214&lt;&gt;"",O214&lt;&gt;""),SUM(M214/'Field recov'!Q214,N214/'Field recov'!R214,O214/'Field recov'!T214),"")</f>
        <v>4893.967203682393</v>
      </c>
      <c r="AF214" s="518">
        <f t="shared" si="21"/>
        <v>54.986301369863014</v>
      </c>
      <c r="AG214" s="518">
        <f t="shared" si="25"/>
        <v>340.1111111111111</v>
      </c>
      <c r="AH214" s="518">
        <f>IF(N214&lt;&gt;"",N214/'Field recov'!R214)</f>
        <v>11.0126582278481</v>
      </c>
      <c r="AI214" s="518">
        <f t="shared" si="16"/>
        <v>31070.573295985057</v>
      </c>
      <c r="AJ214" s="624">
        <v>0.44</v>
      </c>
      <c r="AK214" s="508">
        <f>AD214/AJ214</f>
        <v>79048.62914862913</v>
      </c>
      <c r="AL214" s="508">
        <f>AE214/AJ214</f>
        <v>11122.652735641803</v>
      </c>
      <c r="AM214" s="508">
        <f>AF214/AJ214</f>
        <v>124.96886674968867</v>
      </c>
      <c r="AN214" s="508">
        <f>IF(AG214&lt;&gt;"",AG214/AJ214)</f>
        <v>772.9797979797979</v>
      </c>
      <c r="AO214" s="508">
        <f>AH214/AJ214</f>
        <v>25.028768699654773</v>
      </c>
      <c r="AP214" s="508">
        <f t="shared" si="24"/>
        <v>324.67716942148763</v>
      </c>
      <c r="AR214" s="508">
        <f t="shared" si="20"/>
        <v>70614.93930905695</v>
      </c>
    </row>
    <row r="215" spans="1:44" ht="12.75">
      <c r="A215" s="522" t="s">
        <v>159</v>
      </c>
      <c r="B215" s="525"/>
      <c r="C215" s="525"/>
      <c r="D215" s="512"/>
      <c r="E215" s="525"/>
      <c r="F215" s="525"/>
      <c r="G215" s="512"/>
      <c r="H215" s="525"/>
      <c r="I215" s="525"/>
      <c r="J215" s="512"/>
      <c r="K215" s="509"/>
      <c r="L215" s="518"/>
      <c r="M215" s="511"/>
      <c r="N215" s="521"/>
      <c r="O215" s="521"/>
      <c r="P215" s="521"/>
      <c r="Q215" s="513"/>
      <c r="R215" s="521"/>
      <c r="S215" s="512"/>
      <c r="T215" s="525"/>
      <c r="U215" s="525"/>
      <c r="V215" s="512"/>
      <c r="W215" s="525"/>
      <c r="X215" s="525"/>
      <c r="Y215" s="540"/>
      <c r="Z215" s="525"/>
      <c r="AA215" s="525"/>
      <c r="AB215" s="512"/>
      <c r="AC215" s="540"/>
      <c r="AD215" s="517"/>
      <c r="AE215" s="518"/>
      <c r="AF215" s="518"/>
      <c r="AG215" s="518"/>
      <c r="AH215" s="518"/>
      <c r="AI215" s="518">
        <f t="shared" si="16"/>
      </c>
      <c r="AJ215" s="624" t="s">
        <v>110</v>
      </c>
      <c r="AK215" s="508"/>
      <c r="AL215" s="508"/>
      <c r="AM215" s="508"/>
      <c r="AN215" s="508"/>
      <c r="AO215" s="508"/>
      <c r="AP215" s="508"/>
      <c r="AR215" s="508">
        <f t="shared" si="20"/>
      </c>
    </row>
    <row r="216" spans="1:44" ht="12.75">
      <c r="A216" s="522" t="s">
        <v>160</v>
      </c>
      <c r="B216" s="525">
        <v>5104</v>
      </c>
      <c r="C216" s="525">
        <v>8436</v>
      </c>
      <c r="D216" s="512">
        <f>(B216/'Field recov'!B216)+(C216/'Field recov'!C216)</f>
        <v>15929.411764705881</v>
      </c>
      <c r="E216" s="525">
        <v>10290</v>
      </c>
      <c r="F216" s="525">
        <v>3970</v>
      </c>
      <c r="G216" s="512">
        <f>(E216/'Field recov'!F216)+(F216/'Field recov'!G216)</f>
        <v>16776.470588235294</v>
      </c>
      <c r="H216" s="525">
        <v>34820</v>
      </c>
      <c r="I216" s="525">
        <v>4191</v>
      </c>
      <c r="J216" s="512">
        <f>(H216/'Field recov'!J216)+(I216/'Field recov'!K216)</f>
        <v>45895.29411764706</v>
      </c>
      <c r="K216" s="509">
        <f t="shared" si="22"/>
        <v>78601.17647058824</v>
      </c>
      <c r="L216" s="518">
        <f>(E216/'Field recov'!F216)/2+(F216/'Field recov'!G216)</f>
        <v>10723.529411764706</v>
      </c>
      <c r="M216" s="511"/>
      <c r="N216" s="521">
        <v>9.66</v>
      </c>
      <c r="O216" s="521">
        <v>7627</v>
      </c>
      <c r="P216" s="521">
        <v>10.74</v>
      </c>
      <c r="Q216" s="513">
        <f>(P216*29)/('Field recov'!V216*2)</f>
        <v>176.96590909090907</v>
      </c>
      <c r="R216" s="521">
        <v>32.22</v>
      </c>
      <c r="S216" s="512">
        <f>(R216*2)/'Field recov'!AA216</f>
        <v>88.27397260273972</v>
      </c>
      <c r="T216" s="525">
        <v>26.55</v>
      </c>
      <c r="U216" s="632">
        <v>29.8</v>
      </c>
      <c r="V216" s="512">
        <f>(T216/'Field recov'!AC216)+(U216/'Field recov'!AD216)</f>
        <v>62.611111111111114</v>
      </c>
      <c r="W216" s="525">
        <v>81.77</v>
      </c>
      <c r="X216" s="525">
        <v>32.29</v>
      </c>
      <c r="Y216" s="540">
        <f>(W216/'Field recov'!AG216)+(X216/'Field recov'!AH216)</f>
        <v>126.73333333333332</v>
      </c>
      <c r="Z216" s="525">
        <v>92.16</v>
      </c>
      <c r="AA216" s="525">
        <v>19.86</v>
      </c>
      <c r="AB216" s="512">
        <f>(Z216/'Field recov'!AK216)+(AA216/'Field recov'!AL216)</f>
        <v>124.46666666666665</v>
      </c>
      <c r="AC216" s="540">
        <f t="shared" si="23"/>
        <v>313.8111111111111</v>
      </c>
      <c r="AD216" s="517">
        <f t="shared" si="15"/>
        <v>78914.98758169934</v>
      </c>
      <c r="AE216" s="518">
        <f>IF(OR(M216&lt;&gt;"",N216&lt;&gt;"",O216&lt;&gt;""),SUM(M216/'Field recov'!Q216,N216/'Field recov'!R216,O216/'Field recov'!T216),"")</f>
        <v>8679.27330264672</v>
      </c>
      <c r="AF216" s="518">
        <f t="shared" si="21"/>
        <v>88.27397260273972</v>
      </c>
      <c r="AG216" s="518">
        <f t="shared" si="25"/>
        <v>313.8111111111111</v>
      </c>
      <c r="AH216" s="518">
        <f>IF(N216&lt;&gt;"",N216/'Field recov'!R216)</f>
        <v>12.227848101265822</v>
      </c>
      <c r="AI216" s="518">
        <f t="shared" si="16"/>
        <v>56932.63464052288</v>
      </c>
      <c r="AJ216" s="624">
        <v>0.403</v>
      </c>
      <c r="AK216" s="508">
        <f>AD216/AJ216</f>
        <v>195818.8277461522</v>
      </c>
      <c r="AL216" s="508">
        <f>AE216/AJ216</f>
        <v>21536.658319222628</v>
      </c>
      <c r="AM216" s="508">
        <f>AF216/AJ216</f>
        <v>219.04211563955263</v>
      </c>
      <c r="AN216" s="508">
        <f>IF(AG216&lt;&gt;"",AG216/AJ216)</f>
        <v>778.6876206231044</v>
      </c>
      <c r="AO216" s="508">
        <f>AH216/AJ216</f>
        <v>30.342054841850672</v>
      </c>
      <c r="AP216" s="508">
        <f t="shared" si="24"/>
        <v>439.1213625084592</v>
      </c>
      <c r="AR216" s="508">
        <f t="shared" si="20"/>
        <v>141272.0462543992</v>
      </c>
    </row>
    <row r="217" spans="1:44" ht="12.75">
      <c r="A217" s="522" t="s">
        <v>161</v>
      </c>
      <c r="B217" s="525"/>
      <c r="C217" s="525"/>
      <c r="D217" s="512"/>
      <c r="E217" s="525"/>
      <c r="F217" s="525"/>
      <c r="G217" s="512"/>
      <c r="H217" s="525"/>
      <c r="I217" s="525"/>
      <c r="J217" s="512"/>
      <c r="K217" s="509"/>
      <c r="L217" s="518"/>
      <c r="M217" s="511"/>
      <c r="N217" s="521"/>
      <c r="O217" s="521"/>
      <c r="P217" s="521"/>
      <c r="Q217" s="513"/>
      <c r="R217" s="521"/>
      <c r="S217" s="512"/>
      <c r="T217" s="525"/>
      <c r="U217" s="525"/>
      <c r="V217" s="512"/>
      <c r="W217" s="525"/>
      <c r="X217" s="525"/>
      <c r="Y217" s="540"/>
      <c r="Z217" s="525"/>
      <c r="AA217" s="525"/>
      <c r="AB217" s="512"/>
      <c r="AC217" s="540"/>
      <c r="AD217" s="517"/>
      <c r="AE217" s="518"/>
      <c r="AF217" s="518"/>
      <c r="AG217" s="518"/>
      <c r="AH217" s="518"/>
      <c r="AI217" s="518">
        <f t="shared" si="16"/>
      </c>
      <c r="AJ217" s="624" t="s">
        <v>110</v>
      </c>
      <c r="AK217" s="508"/>
      <c r="AL217" s="508"/>
      <c r="AM217" s="508"/>
      <c r="AN217" s="508"/>
      <c r="AO217" s="508"/>
      <c r="AP217" s="508"/>
      <c r="AR217" s="508">
        <f t="shared" si="20"/>
      </c>
    </row>
    <row r="218" spans="1:44" ht="12.75">
      <c r="A218" s="522" t="s">
        <v>162</v>
      </c>
      <c r="B218" s="525">
        <v>36480</v>
      </c>
      <c r="C218" s="525">
        <v>284500</v>
      </c>
      <c r="D218" s="512">
        <f>(B218/'Field recov'!B218)+(C218/'Field recov'!C218)</f>
        <v>377623.52941176476</v>
      </c>
      <c r="E218" s="525">
        <v>39730</v>
      </c>
      <c r="F218" s="525">
        <v>9116</v>
      </c>
      <c r="G218" s="512">
        <f>(E218/'Field recov'!F218)+(F218/'Field recov'!G218)</f>
        <v>57465.88235294118</v>
      </c>
      <c r="H218" s="525">
        <v>73430</v>
      </c>
      <c r="I218" s="525">
        <v>137200</v>
      </c>
      <c r="J218" s="512">
        <f>(H218/'Field recov'!J218)+(I218/'Field recov'!K218)</f>
        <v>247800</v>
      </c>
      <c r="K218" s="509">
        <f t="shared" si="22"/>
        <v>682889.411764706</v>
      </c>
      <c r="L218" s="518">
        <f>(E218/'Field recov'!F218)/2+(F218/'Field recov'!G218)</f>
        <v>34095.29411764706</v>
      </c>
      <c r="M218" s="511"/>
      <c r="N218" s="521">
        <v>1.56</v>
      </c>
      <c r="O218" s="521">
        <v>33810</v>
      </c>
      <c r="P218" s="521">
        <v>23.19</v>
      </c>
      <c r="Q218" s="513">
        <f>(P218*29)/('Field recov'!V218*2)</f>
        <v>382.10795454545456</v>
      </c>
      <c r="R218" s="521">
        <v>205.6</v>
      </c>
      <c r="S218" s="512">
        <f>(R218*2)/'Field recov'!AA218</f>
        <v>411.2</v>
      </c>
      <c r="T218" s="525">
        <v>33.04</v>
      </c>
      <c r="U218" s="525">
        <v>44.31</v>
      </c>
      <c r="V218" s="512">
        <f>(T218/'Field recov'!AC218)+(U218/'Field recov'!AD218)</f>
        <v>85.94444444444444</v>
      </c>
      <c r="W218" s="525">
        <v>202.7</v>
      </c>
      <c r="X218" s="525">
        <v>100.1</v>
      </c>
      <c r="Y218" s="540">
        <f>(W218/'Field recov'!AG218)+(X218/'Field recov'!AH218)</f>
        <v>336.4444444444444</v>
      </c>
      <c r="Z218" s="525">
        <v>37.16</v>
      </c>
      <c r="AA218" s="525">
        <v>52.75</v>
      </c>
      <c r="AB218" s="512">
        <f>(Z218/'Field recov'!AK218)+(AA218/'Field recov'!AL218)</f>
        <v>99.89999999999999</v>
      </c>
      <c r="AC218" s="540">
        <f t="shared" si="23"/>
        <v>522.2888888888889</v>
      </c>
      <c r="AD218" s="517">
        <f t="shared" si="15"/>
        <v>683411.7006535949</v>
      </c>
      <c r="AE218" s="518">
        <f>IF(OR(M218&lt;&gt;"",N218&lt;&gt;"",O218&lt;&gt;""),SUM(M218/'Field recov'!Q218,N218/'Field recov'!R218,O218/'Field recov'!T218),"")</f>
        <v>38422.429228998844</v>
      </c>
      <c r="AF218" s="518">
        <f t="shared" si="21"/>
        <v>411.2</v>
      </c>
      <c r="AG218" s="518">
        <f t="shared" si="25"/>
        <v>522.2888888888889</v>
      </c>
      <c r="AH218" s="518">
        <f>IF(N218&lt;&gt;"",N218/'Field recov'!R218)</f>
        <v>1.9746835443037976</v>
      </c>
      <c r="AI218" s="518">
        <f t="shared" si="16"/>
        <v>282417.58300653595</v>
      </c>
      <c r="AJ218" s="624">
        <v>0.639</v>
      </c>
      <c r="AK218" s="508">
        <f>AD218/AJ218</f>
        <v>1069501.8789571126</v>
      </c>
      <c r="AL218" s="508">
        <f>AE218/AJ218</f>
        <v>60128.99722848019</v>
      </c>
      <c r="AM218" s="508">
        <f>AF218/AJ218</f>
        <v>643.5054773082942</v>
      </c>
      <c r="AN218" s="508">
        <f>IF(AG218&lt;&gt;"",AG218/AJ218)</f>
        <v>817.3535037384803</v>
      </c>
      <c r="AO218" s="508">
        <f>AH218/AJ218</f>
        <v>3.0902715873298865</v>
      </c>
      <c r="AP218" s="508">
        <f t="shared" si="24"/>
        <v>597.9780196329492</v>
      </c>
      <c r="AR218" s="508">
        <f t="shared" si="20"/>
        <v>441968.0485235304</v>
      </c>
    </row>
    <row r="219" spans="1:44" ht="12.75">
      <c r="A219" s="522" t="s">
        <v>163</v>
      </c>
      <c r="B219" s="525"/>
      <c r="C219" s="525"/>
      <c r="D219" s="512"/>
      <c r="E219" s="525"/>
      <c r="F219" s="525"/>
      <c r="G219" s="512"/>
      <c r="H219" s="525"/>
      <c r="I219" s="525"/>
      <c r="J219" s="512"/>
      <c r="K219" s="509"/>
      <c r="L219" s="518"/>
      <c r="M219" s="511"/>
      <c r="N219" s="521"/>
      <c r="O219" s="521"/>
      <c r="P219" s="521"/>
      <c r="Q219" s="513"/>
      <c r="R219" s="521"/>
      <c r="S219" s="512"/>
      <c r="T219" s="525"/>
      <c r="U219" s="525"/>
      <c r="V219" s="512"/>
      <c r="W219" s="525"/>
      <c r="X219" s="525"/>
      <c r="Y219" s="540"/>
      <c r="Z219" s="525"/>
      <c r="AA219" s="525"/>
      <c r="AB219" s="512"/>
      <c r="AC219" s="540"/>
      <c r="AD219" s="517"/>
      <c r="AE219" s="518"/>
      <c r="AF219" s="518"/>
      <c r="AG219" s="518"/>
      <c r="AH219" s="518"/>
      <c r="AI219" s="518">
        <f t="shared" si="16"/>
      </c>
      <c r="AJ219" s="624" t="s">
        <v>110</v>
      </c>
      <c r="AK219" s="508"/>
      <c r="AL219" s="508"/>
      <c r="AM219" s="508"/>
      <c r="AN219" s="508"/>
      <c r="AO219" s="508"/>
      <c r="AP219" s="508"/>
      <c r="AR219" s="508">
        <f t="shared" si="20"/>
      </c>
    </row>
    <row r="220" spans="1:44" ht="12.75">
      <c r="A220" s="522" t="s">
        <v>164</v>
      </c>
      <c r="B220" s="525">
        <v>11120</v>
      </c>
      <c r="C220" s="525">
        <v>25890</v>
      </c>
      <c r="D220" s="512">
        <f>(B220/'Field recov'!B220)+(C220/'Field recov'!C220)</f>
        <v>43541.17647058824</v>
      </c>
      <c r="E220" s="525">
        <v>20110</v>
      </c>
      <c r="F220" s="525">
        <v>17210</v>
      </c>
      <c r="G220" s="512">
        <f>(E220/'Field recov'!F220)+(F220/'Field recov'!G220)</f>
        <v>43905.882352941175</v>
      </c>
      <c r="H220" s="525">
        <v>57310</v>
      </c>
      <c r="I220" s="525">
        <v>16450</v>
      </c>
      <c r="J220" s="512">
        <f>(H220/'Field recov'!J220)+(I220/'Field recov'!K220)</f>
        <v>86776.4705882353</v>
      </c>
      <c r="K220" s="509">
        <f t="shared" si="22"/>
        <v>174223.5294117647</v>
      </c>
      <c r="L220" s="518">
        <f>(E220/'Field recov'!F220)/2+(F220/'Field recov'!G220)</f>
        <v>32076.470588235294</v>
      </c>
      <c r="M220" s="511"/>
      <c r="N220" s="521">
        <v>4.55</v>
      </c>
      <c r="O220" s="521">
        <v>12310</v>
      </c>
      <c r="P220" s="521">
        <v>17.91</v>
      </c>
      <c r="Q220" s="513">
        <f>(P220*29)/('Field recov'!V220*2)</f>
        <v>295.10795454545456</v>
      </c>
      <c r="R220" s="521">
        <v>348.4</v>
      </c>
      <c r="S220" s="512">
        <f>(R220*2)/'Field recov'!AA220</f>
        <v>696.8</v>
      </c>
      <c r="T220" s="525">
        <v>23.29</v>
      </c>
      <c r="U220" s="525">
        <v>338.3</v>
      </c>
      <c r="V220" s="512">
        <f>(T220/'Field recov'!AC220)+(U220/'Field recov'!AD220)</f>
        <v>385.7713947990544</v>
      </c>
      <c r="W220" s="525">
        <v>2676</v>
      </c>
      <c r="X220" s="525">
        <v>74.46</v>
      </c>
      <c r="Y220" s="540">
        <f>(W220/'Field recov'!AG220)+(X220/'Field recov'!AH220)</f>
        <v>2929.5418439716314</v>
      </c>
      <c r="Z220" s="525">
        <v>10970</v>
      </c>
      <c r="AA220" s="525">
        <v>5591</v>
      </c>
      <c r="AB220" s="512">
        <f>(Z220/'Field recov'!AK220)+(AA220/'Field recov'!AL220)</f>
        <v>17618.08510638298</v>
      </c>
      <c r="AC220" s="540">
        <f t="shared" si="23"/>
        <v>20933.398345153666</v>
      </c>
      <c r="AD220" s="517">
        <f t="shared" si="15"/>
        <v>195156.92775691836</v>
      </c>
      <c r="AE220" s="518">
        <f>IF(OR(M220&lt;&gt;"",N220&lt;&gt;"",O220&lt;&gt;""),SUM(M220/'Field recov'!Q220,N220/'Field recov'!R220,O220/'Field recov'!T220),"")</f>
        <v>13994.39585730725</v>
      </c>
      <c r="AF220" s="518">
        <f t="shared" si="21"/>
        <v>696.8</v>
      </c>
      <c r="AG220" s="518">
        <f t="shared" si="25"/>
        <v>20933.398345153666</v>
      </c>
      <c r="AH220" s="518">
        <f>IF(N220&lt;&gt;"",N220/'Field recov'!R220)</f>
        <v>5.7594936708860756</v>
      </c>
      <c r="AI220" s="518">
        <f t="shared" si="16"/>
        <v>139786.33952162426</v>
      </c>
      <c r="AJ220" s="624">
        <v>0.435</v>
      </c>
      <c r="AK220" s="508">
        <f>AD220/AJ220</f>
        <v>448636.61553314567</v>
      </c>
      <c r="AL220" s="508">
        <f>AE220/AJ220</f>
        <v>32171.024959327013</v>
      </c>
      <c r="AM220" s="508">
        <f>AF220/AJ220</f>
        <v>1601.83908045977</v>
      </c>
      <c r="AN220" s="508">
        <f>IF(AG220&lt;&gt;"",AG220/AJ220)</f>
        <v>48122.75481644521</v>
      </c>
      <c r="AO220" s="508">
        <f>AH220/AJ220</f>
        <v>13.240215335370289</v>
      </c>
      <c r="AP220" s="508">
        <f t="shared" si="24"/>
        <v>678.409090909091</v>
      </c>
      <c r="AR220" s="508">
        <f t="shared" si="20"/>
        <v>321347.9069462627</v>
      </c>
    </row>
    <row r="221" spans="1:44" ht="12.75">
      <c r="A221" s="522" t="s">
        <v>165</v>
      </c>
      <c r="B221" s="525"/>
      <c r="C221" s="525"/>
      <c r="D221" s="512"/>
      <c r="E221" s="525"/>
      <c r="F221" s="525"/>
      <c r="G221" s="512"/>
      <c r="H221" s="525"/>
      <c r="I221" s="525"/>
      <c r="J221" s="512"/>
      <c r="K221" s="509"/>
      <c r="L221" s="518"/>
      <c r="M221" s="511"/>
      <c r="N221" s="521"/>
      <c r="O221" s="521"/>
      <c r="P221" s="521"/>
      <c r="Q221" s="513"/>
      <c r="R221" s="521"/>
      <c r="S221" s="512"/>
      <c r="T221" s="525"/>
      <c r="U221" s="525"/>
      <c r="V221" s="512"/>
      <c r="W221" s="525"/>
      <c r="X221" s="525"/>
      <c r="Y221" s="540"/>
      <c r="Z221" s="525"/>
      <c r="AA221" s="525"/>
      <c r="AB221" s="512"/>
      <c r="AC221" s="540"/>
      <c r="AD221" s="517"/>
      <c r="AE221" s="518"/>
      <c r="AF221" s="518"/>
      <c r="AG221" s="518"/>
      <c r="AH221" s="518"/>
      <c r="AI221" s="518">
        <f t="shared" si="16"/>
      </c>
      <c r="AJ221" s="624" t="s">
        <v>110</v>
      </c>
      <c r="AK221" s="508"/>
      <c r="AL221" s="508"/>
      <c r="AM221" s="508"/>
      <c r="AN221" s="508"/>
      <c r="AO221" s="508"/>
      <c r="AP221" s="508"/>
      <c r="AR221" s="508">
        <f t="shared" si="20"/>
      </c>
    </row>
    <row r="222" spans="1:44" ht="12.75">
      <c r="A222" s="522" t="s">
        <v>166</v>
      </c>
      <c r="B222" s="525">
        <v>15920</v>
      </c>
      <c r="C222" s="525">
        <v>19070</v>
      </c>
      <c r="D222" s="512">
        <f>(B222/'Field recov'!B222)+(C222/'Field recov'!C222)</f>
        <v>41164.70588235294</v>
      </c>
      <c r="E222" s="525">
        <v>16310</v>
      </c>
      <c r="F222" s="525">
        <v>9121</v>
      </c>
      <c r="G222" s="512">
        <f>(E222/'Field recov'!F222)+(F222/'Field recov'!G222)</f>
        <v>29918.823529411762</v>
      </c>
      <c r="H222" s="525">
        <v>55380</v>
      </c>
      <c r="I222" s="525">
        <v>35060</v>
      </c>
      <c r="J222" s="512">
        <f>(H222/'Field recov'!J222)+(I222/'Field recov'!K222)</f>
        <v>106400</v>
      </c>
      <c r="K222" s="509">
        <f t="shared" si="22"/>
        <v>177483.5294117647</v>
      </c>
      <c r="L222" s="518">
        <f>(E222/'Field recov'!F222)/2+(F222/'Field recov'!G222)</f>
        <v>20324.70588235294</v>
      </c>
      <c r="M222" s="511"/>
      <c r="N222" s="521">
        <v>2.3</v>
      </c>
      <c r="O222" s="521">
        <v>16400</v>
      </c>
      <c r="P222" s="521">
        <v>17.86</v>
      </c>
      <c r="Q222" s="513">
        <f>(P222*29)/('Field recov'!V222*2)</f>
        <v>294.2840909090909</v>
      </c>
      <c r="R222" s="521">
        <v>211.7</v>
      </c>
      <c r="S222" s="512">
        <f>(R222*2)/'Field recov'!AA222</f>
        <v>423.4</v>
      </c>
      <c r="T222" s="525">
        <v>24.23</v>
      </c>
      <c r="U222" s="525">
        <v>49.17</v>
      </c>
      <c r="V222" s="512">
        <f>(T222/'Field recov'!AC222)+(U222/'Field recov'!AD222)</f>
        <v>81.55555555555556</v>
      </c>
      <c r="W222" s="525">
        <v>324.3</v>
      </c>
      <c r="X222" s="525">
        <v>57.05</v>
      </c>
      <c r="Y222" s="540">
        <f>(W222/'Field recov'!AG222)+(X222/'Field recov'!AH222)</f>
        <v>408.3888888888889</v>
      </c>
      <c r="Z222" s="525">
        <v>4.59</v>
      </c>
      <c r="AA222" s="634">
        <v>313</v>
      </c>
      <c r="AB222" s="512">
        <f>(Z222/'Field recov'!AK222)+(AA222/'Field recov'!AL222)</f>
        <v>338.07872340425536</v>
      </c>
      <c r="AC222" s="540">
        <f t="shared" si="23"/>
        <v>828.0231678486998</v>
      </c>
      <c r="AD222" s="517">
        <f t="shared" si="15"/>
        <v>178311.5525796134</v>
      </c>
      <c r="AE222" s="518">
        <f>IF(OR(M222&lt;&gt;"",N222&lt;&gt;"",O222&lt;&gt;""),SUM(M222/'Field recov'!Q222,N222/'Field recov'!R222,O222/'Field recov'!T222),"")</f>
        <v>18639.275028768698</v>
      </c>
      <c r="AF222" s="518">
        <f t="shared" si="21"/>
        <v>423.4</v>
      </c>
      <c r="AG222" s="518">
        <f t="shared" si="25"/>
        <v>828.0231678486998</v>
      </c>
      <c r="AH222" s="518">
        <f>IF(N222&lt;&gt;"",N222/'Field recov'!R222)</f>
        <v>2.9113924050632907</v>
      </c>
      <c r="AI222" s="518">
        <f t="shared" si="16"/>
        <v>127552.72905020164</v>
      </c>
      <c r="AJ222" s="624">
        <v>0.379</v>
      </c>
      <c r="AK222" s="508">
        <f>AD222/AJ222</f>
        <v>470479.03055306966</v>
      </c>
      <c r="AL222" s="508">
        <f>AE222/AJ222</f>
        <v>49180.14519464036</v>
      </c>
      <c r="AM222" s="508">
        <f>AF222/AJ222</f>
        <v>1117.150395778364</v>
      </c>
      <c r="AN222" s="508">
        <f>IF(AG222&lt;&gt;"",AG222/AJ222)</f>
        <v>2184.757698809234</v>
      </c>
      <c r="AO222" s="508">
        <f>AH222/AJ222</f>
        <v>7.681774155839817</v>
      </c>
      <c r="AP222" s="508">
        <f t="shared" si="24"/>
        <v>776.4751739026144</v>
      </c>
      <c r="AR222" s="508">
        <f t="shared" si="20"/>
        <v>336550.7362802154</v>
      </c>
    </row>
    <row r="223" spans="1:44" ht="12.75">
      <c r="A223" s="522" t="s">
        <v>167</v>
      </c>
      <c r="B223" s="525"/>
      <c r="C223" s="525"/>
      <c r="D223" s="512"/>
      <c r="E223" s="525"/>
      <c r="F223" s="525"/>
      <c r="G223" s="512"/>
      <c r="H223" s="525"/>
      <c r="I223" s="525"/>
      <c r="J223" s="512"/>
      <c r="K223" s="509"/>
      <c r="L223" s="518"/>
      <c r="M223" s="511"/>
      <c r="N223" s="521"/>
      <c r="O223" s="521"/>
      <c r="P223" s="521"/>
      <c r="Q223" s="513"/>
      <c r="R223" s="521"/>
      <c r="S223" s="512"/>
      <c r="T223" s="525"/>
      <c r="U223" s="525"/>
      <c r="V223" s="512"/>
      <c r="W223" s="525"/>
      <c r="X223" s="525"/>
      <c r="Y223" s="540"/>
      <c r="Z223" s="525"/>
      <c r="AA223" s="525"/>
      <c r="AB223" s="512"/>
      <c r="AC223" s="540"/>
      <c r="AD223" s="517"/>
      <c r="AE223" s="518"/>
      <c r="AF223" s="518"/>
      <c r="AG223" s="518"/>
      <c r="AH223" s="518"/>
      <c r="AI223" s="518">
        <f t="shared" si="16"/>
      </c>
      <c r="AJ223" s="624" t="s">
        <v>110</v>
      </c>
      <c r="AK223" s="508"/>
      <c r="AL223" s="508"/>
      <c r="AM223" s="508"/>
      <c r="AN223" s="508"/>
      <c r="AO223" s="508"/>
      <c r="AP223" s="508"/>
      <c r="AR223" s="508">
        <f t="shared" si="20"/>
      </c>
    </row>
    <row r="224" spans="1:44" ht="12.75">
      <c r="A224" s="522" t="s">
        <v>168</v>
      </c>
      <c r="B224" s="525">
        <v>12230</v>
      </c>
      <c r="C224" s="525">
        <v>58920</v>
      </c>
      <c r="D224" s="512">
        <f>(B224/'Field recov'!B224)+(C224/'Field recov'!C224)</f>
        <v>83705.88235294117</v>
      </c>
      <c r="E224" s="525">
        <v>19970</v>
      </c>
      <c r="F224" s="525">
        <v>9479</v>
      </c>
      <c r="G224" s="512">
        <f>(E224/'Field recov'!F224)+(F224/'Field recov'!G224)</f>
        <v>34645.882352941175</v>
      </c>
      <c r="H224" s="525">
        <v>87740</v>
      </c>
      <c r="I224" s="525">
        <v>189900</v>
      </c>
      <c r="J224" s="512">
        <f>(H224/'Field recov'!J224)+(I224/'Field recov'!K224)</f>
        <v>326635.29411764705</v>
      </c>
      <c r="K224" s="509">
        <f t="shared" si="22"/>
        <v>444987.0588235294</v>
      </c>
      <c r="L224" s="518">
        <f>(E224/'Field recov'!F224)/2+(F224/'Field recov'!G224)</f>
        <v>22898.823529411766</v>
      </c>
      <c r="M224" s="511"/>
      <c r="N224" s="521">
        <v>9.38</v>
      </c>
      <c r="O224" s="521">
        <v>23960</v>
      </c>
      <c r="P224" s="521">
        <v>19.55</v>
      </c>
      <c r="Q224" s="513">
        <f>(P224*29)/('Field recov'!V224*2)</f>
        <v>322.13068181818187</v>
      </c>
      <c r="R224" s="521">
        <v>62.89</v>
      </c>
      <c r="S224" s="512">
        <f>(R224*2)/'Field recov'!AA224</f>
        <v>172.30136986301372</v>
      </c>
      <c r="T224" s="525">
        <v>73.52</v>
      </c>
      <c r="U224" s="525">
        <v>143.1</v>
      </c>
      <c r="V224" s="512">
        <f>(T224/'Field recov'!AC224)+(U224/'Field recov'!AD224)</f>
        <v>240.68888888888887</v>
      </c>
      <c r="W224" s="525">
        <v>274.5</v>
      </c>
      <c r="X224" s="525">
        <v>116.7</v>
      </c>
      <c r="Y224" s="540">
        <f>(W224/'Field recov'!AG224)+(X224/'Field recov'!AH224)</f>
        <v>421.6879432624114</v>
      </c>
      <c r="Z224" s="525">
        <v>917.4</v>
      </c>
      <c r="AA224" s="525">
        <v>107.4</v>
      </c>
      <c r="AB224" s="512">
        <f>(Z224/'Field recov'!AK224)+(AA224/'Field recov'!AL224)</f>
        <v>1095.290780141844</v>
      </c>
      <c r="AC224" s="540">
        <f t="shared" si="23"/>
        <v>1757.6676122931442</v>
      </c>
      <c r="AD224" s="517">
        <f t="shared" si="15"/>
        <v>446744.72643582255</v>
      </c>
      <c r="AE224" s="518">
        <f>IF(OR(M224&lt;&gt;"",N224&lt;&gt;"",O224&lt;&gt;""),SUM(M224/'Field recov'!Q224,N224/'Field recov'!R224,O224/'Field recov'!T224),"")</f>
        <v>27239.146144994247</v>
      </c>
      <c r="AF224" s="518">
        <f t="shared" si="21"/>
        <v>172.30136986301372</v>
      </c>
      <c r="AG224" s="518">
        <f t="shared" si="25"/>
        <v>1757.6676122931442</v>
      </c>
      <c r="AH224" s="518">
        <f>IF(N224&lt;&gt;"",N224/'Field recov'!R224)</f>
        <v>11.873417721518988</v>
      </c>
      <c r="AI224" s="518">
        <f t="shared" si="16"/>
        <v>351291.78525935195</v>
      </c>
      <c r="AJ224" s="624">
        <v>0.902</v>
      </c>
      <c r="AK224" s="508">
        <f aca="true" t="shared" si="26" ref="AK224:AK244">AD224/AJ224</f>
        <v>495282.4018135505</v>
      </c>
      <c r="AL224" s="508">
        <f aca="true" t="shared" si="27" ref="AL224:AL244">AE224/AJ224</f>
        <v>30198.609916845064</v>
      </c>
      <c r="AM224" s="508">
        <f aca="true" t="shared" si="28" ref="AM224:AM244">AF224/AJ224</f>
        <v>191.02147434923916</v>
      </c>
      <c r="AN224" s="508">
        <f aca="true" t="shared" si="29" ref="AN224:AN244">IF(AG224&lt;&gt;"",AG224/AJ224)</f>
        <v>1948.6337165112463</v>
      </c>
      <c r="AO224" s="508">
        <f aca="true" t="shared" si="30" ref="AO224:AO244">AH224/AJ224</f>
        <v>13.16343428106318</v>
      </c>
      <c r="AP224" s="508">
        <f t="shared" si="24"/>
        <v>357.12935900020165</v>
      </c>
      <c r="AR224" s="508">
        <f t="shared" si="20"/>
        <v>389458.741972674</v>
      </c>
    </row>
    <row r="225" spans="1:44" s="536" customFormat="1" ht="12.75">
      <c r="A225" s="515" t="s">
        <v>169</v>
      </c>
      <c r="B225" s="519">
        <v>266.5</v>
      </c>
      <c r="C225" s="519">
        <v>1406</v>
      </c>
      <c r="D225" s="516">
        <f>(B225/'Field recov'!B225)+(C225/'Field recov'!C225)</f>
        <v>1672.5</v>
      </c>
      <c r="E225" s="519">
        <v>490.9</v>
      </c>
      <c r="F225" s="519">
        <v>152</v>
      </c>
      <c r="G225" s="516">
        <f>(E225/'Field recov'!F225)+(F225/'Field recov'!G225)</f>
        <v>642.9</v>
      </c>
      <c r="H225" s="519">
        <v>6965</v>
      </c>
      <c r="I225" s="519">
        <v>17916</v>
      </c>
      <c r="J225" s="516">
        <f>(H225/'Field recov'!J225)+(I225/'Field recov'!K225)</f>
        <v>24881</v>
      </c>
      <c r="K225" s="527">
        <f t="shared" si="22"/>
        <v>27196.4</v>
      </c>
      <c r="L225" s="527"/>
      <c r="M225" s="519"/>
      <c r="N225" s="519">
        <v>0.23929999999999998</v>
      </c>
      <c r="O225" s="519">
        <v>687.9</v>
      </c>
      <c r="P225" s="515">
        <v>2.1220000000000003</v>
      </c>
      <c r="Q225" s="596">
        <f>(P225*29)/('Field recov'!V225*2)</f>
        <v>30.769000000000005</v>
      </c>
      <c r="R225" s="515">
        <v>4.773000000000001</v>
      </c>
      <c r="S225" s="516">
        <f>(R225*2)/'Field recov'!AA225</f>
        <v>10.376086956521739</v>
      </c>
      <c r="T225" s="519">
        <v>0.8077</v>
      </c>
      <c r="U225" s="519">
        <v>20.51</v>
      </c>
      <c r="V225" s="516">
        <f>(T225/'Field recov'!AC225)+(U225/'Field recov'!AD225)</f>
        <v>21.317700000000002</v>
      </c>
      <c r="W225" s="519">
        <v>5.617999999999999</v>
      </c>
      <c r="X225" s="519">
        <v>3.9389999999999996</v>
      </c>
      <c r="Y225" s="530">
        <f>(W225/'Field recov'!AG225)+(X225/'Field recov'!AH225)</f>
        <v>9.556999999999999</v>
      </c>
      <c r="Z225" s="519">
        <v>788</v>
      </c>
      <c r="AA225" s="519">
        <v>494.5</v>
      </c>
      <c r="AB225" s="516">
        <f>(Z225/'Field recov'!AK225)+(AA225/'Field recov'!AL225)</f>
        <v>1282.5</v>
      </c>
      <c r="AC225" s="530">
        <f t="shared" si="23"/>
        <v>1313.3747</v>
      </c>
      <c r="AD225" s="516">
        <f t="shared" si="15"/>
        <v>28509.7747</v>
      </c>
      <c r="AE225" s="527">
        <f>IF(OR(M225&lt;&gt;"",N225&lt;&gt;"",O225&lt;&gt;""),SUM(M225/'Field recov'!Q225,N225/'Field recov'!R225,O225/'Field recov'!T225),"")</f>
        <v>739.9347311827956</v>
      </c>
      <c r="AF225" s="527">
        <f t="shared" si="21"/>
        <v>10.376086956521739</v>
      </c>
      <c r="AG225" s="527">
        <f t="shared" si="25"/>
        <v>1313.3747</v>
      </c>
      <c r="AH225" s="527">
        <f>IF(N225&lt;&gt;"",N225/'Field recov'!R225)</f>
        <v>0.2573118279569892</v>
      </c>
      <c r="AI225" s="527"/>
      <c r="AJ225" s="626">
        <v>0.0283125</v>
      </c>
      <c r="AK225" s="561">
        <f t="shared" si="26"/>
        <v>1006967.7598233996</v>
      </c>
      <c r="AL225" s="561">
        <f t="shared" si="27"/>
        <v>26134.560041776447</v>
      </c>
      <c r="AM225" s="561">
        <f t="shared" si="28"/>
        <v>366.4843075151166</v>
      </c>
      <c r="AN225" s="561">
        <f t="shared" si="29"/>
        <v>46388.51037527594</v>
      </c>
      <c r="AO225" s="561">
        <f t="shared" si="30"/>
        <v>9.088276484132068</v>
      </c>
      <c r="AP225" s="561">
        <f t="shared" si="24"/>
        <v>1086.7637969094924</v>
      </c>
      <c r="AR225" s="561"/>
    </row>
    <row r="226" spans="1:44" ht="12.75">
      <c r="A226" s="511" t="s">
        <v>170</v>
      </c>
      <c r="B226" s="520">
        <v>1012</v>
      </c>
      <c r="C226" s="520">
        <v>1779</v>
      </c>
      <c r="D226" s="512">
        <f>(B226/'Field recov'!B226)+(C226/'Field recov'!C226)</f>
        <v>2791</v>
      </c>
      <c r="E226" s="520">
        <v>371.1</v>
      </c>
      <c r="F226" s="520">
        <v>516.7</v>
      </c>
      <c r="G226" s="512">
        <f>(E226/'Field recov'!F226)+(F226/'Field recov'!G226)</f>
        <v>887.8000000000001</v>
      </c>
      <c r="H226" s="520">
        <v>20636</v>
      </c>
      <c r="I226" s="520">
        <v>30740</v>
      </c>
      <c r="J226" s="512">
        <f>(H226/'Field recov'!J226)+(I226/'Field recov'!K226)</f>
        <v>51376</v>
      </c>
      <c r="K226" s="509">
        <f t="shared" si="22"/>
        <v>55054.8</v>
      </c>
      <c r="L226" s="518"/>
      <c r="M226" s="520"/>
      <c r="N226" s="511">
        <v>0.5548000000000001</v>
      </c>
      <c r="O226" s="511">
        <v>1323</v>
      </c>
      <c r="P226" s="511">
        <v>4.223</v>
      </c>
      <c r="Q226" s="513">
        <f>(P226*29)/('Field recov'!V226*1.95)</f>
        <v>62.80358974358975</v>
      </c>
      <c r="R226" s="511">
        <v>6.8069999999999995</v>
      </c>
      <c r="S226" s="512">
        <f>(R226*2)/'Field recov'!AA226</f>
        <v>14.79782608695652</v>
      </c>
      <c r="T226" s="520">
        <v>1.3259999999999998</v>
      </c>
      <c r="U226" s="520">
        <v>4.919</v>
      </c>
      <c r="V226" s="512">
        <f>(T226/'Field recov'!AC226)+(U226/'Field recov'!AD226)</f>
        <v>6.244999999999999</v>
      </c>
      <c r="W226" s="520">
        <v>50.1</v>
      </c>
      <c r="X226" s="520">
        <v>21.73</v>
      </c>
      <c r="Y226" s="540">
        <f>(W226/'Field recov'!AG226)+(X226/'Field recov'!AH226)</f>
        <v>71.83</v>
      </c>
      <c r="Z226" s="520">
        <v>5221</v>
      </c>
      <c r="AA226" s="520">
        <v>17330</v>
      </c>
      <c r="AB226" s="512">
        <f>(Z226/'Field recov'!AK226)+(AA226/'Field recov'!AL226)</f>
        <v>22551</v>
      </c>
      <c r="AC226" s="540">
        <f t="shared" si="23"/>
        <v>22629.075</v>
      </c>
      <c r="AD226" s="517">
        <f t="shared" si="15"/>
        <v>77683.875</v>
      </c>
      <c r="AE226" s="518">
        <f>IF(OR(M226&lt;&gt;"",N226&lt;&gt;"",O226&lt;&gt;""),SUM(M226/'Field recov'!Q226,N226/'Field recov'!R226,O226/'Field recov'!T226),"")</f>
        <v>1423.177204301075</v>
      </c>
      <c r="AF226" s="518">
        <f t="shared" si="21"/>
        <v>14.79782608695652</v>
      </c>
      <c r="AG226" s="518">
        <f t="shared" si="25"/>
        <v>22629.075</v>
      </c>
      <c r="AH226" s="518">
        <f>IF(N226&lt;&gt;"",N226/'Field recov'!R226)</f>
        <v>0.5965591397849462</v>
      </c>
      <c r="AI226" s="518"/>
      <c r="AJ226" s="625">
        <v>0.057375</v>
      </c>
      <c r="AK226" s="508">
        <f t="shared" si="26"/>
        <v>1353967.320261438</v>
      </c>
      <c r="AL226" s="508">
        <f t="shared" si="27"/>
        <v>24804.83144751329</v>
      </c>
      <c r="AM226" s="508">
        <f t="shared" si="28"/>
        <v>257.9141801648195</v>
      </c>
      <c r="AN226" s="508">
        <f t="shared" si="29"/>
        <v>394406.53594771243</v>
      </c>
      <c r="AO226" s="508">
        <f t="shared" si="30"/>
        <v>10.397544919999062</v>
      </c>
      <c r="AP226" s="508">
        <f t="shared" si="24"/>
        <v>1094.6159432433942</v>
      </c>
      <c r="AR226" s="563"/>
    </row>
    <row r="227" spans="1:44" ht="12.75">
      <c r="A227" s="511" t="s">
        <v>171</v>
      </c>
      <c r="B227" s="520">
        <v>1231</v>
      </c>
      <c r="C227" s="520">
        <v>5412</v>
      </c>
      <c r="D227" s="512">
        <f>(B227/'Field recov'!B227)+(C227/'Field recov'!C227)</f>
        <v>6643</v>
      </c>
      <c r="E227" s="520">
        <v>333.5</v>
      </c>
      <c r="F227" s="520">
        <v>355.1</v>
      </c>
      <c r="G227" s="512">
        <f>(E227/'Field recov'!F227)+(F227/'Field recov'!G227)</f>
        <v>688.6</v>
      </c>
      <c r="H227" s="520">
        <v>28948</v>
      </c>
      <c r="I227" s="520">
        <v>27810</v>
      </c>
      <c r="J227" s="512">
        <f>(H227/'Field recov'!J227)+(I227/'Field recov'!K227)</f>
        <v>56758</v>
      </c>
      <c r="K227" s="509">
        <f t="shared" si="22"/>
        <v>64089.6</v>
      </c>
      <c r="L227" s="518"/>
      <c r="M227" s="520"/>
      <c r="N227" s="511">
        <v>1.5839999999999999</v>
      </c>
      <c r="O227" s="511">
        <v>729.9</v>
      </c>
      <c r="P227" s="511">
        <v>4.138</v>
      </c>
      <c r="Q227" s="513">
        <f>(P227*29)/('Field recov'!V227*2)</f>
        <v>60.001</v>
      </c>
      <c r="R227" s="511">
        <v>6.088</v>
      </c>
      <c r="S227" s="512">
        <f>(R227*2)/'Field recov'!AA227</f>
        <v>13.234782608695651</v>
      </c>
      <c r="T227" s="520">
        <v>3.1719999999999997</v>
      </c>
      <c r="U227" s="520">
        <v>2.2070000000000003</v>
      </c>
      <c r="V227" s="512">
        <f>(T227/'Field recov'!AC227)+(U227/'Field recov'!AD227)</f>
        <v>5.379</v>
      </c>
      <c r="W227" s="520">
        <v>655.8</v>
      </c>
      <c r="X227" s="520">
        <v>146.9</v>
      </c>
      <c r="Y227" s="540">
        <f>(W227/'Field recov'!AG227)+(X227/'Field recov'!AH227)</f>
        <v>802.6999999999999</v>
      </c>
      <c r="Z227" s="520">
        <v>6360</v>
      </c>
      <c r="AA227" s="520">
        <v>20792</v>
      </c>
      <c r="AB227" s="512">
        <f>(Z227/'Field recov'!AK227)+(AA227/'Field recov'!AL227)</f>
        <v>27152</v>
      </c>
      <c r="AC227" s="540">
        <f t="shared" si="23"/>
        <v>27960.079</v>
      </c>
      <c r="AD227" s="517">
        <f aca="true" t="shared" si="31" ref="AD227:AD274">IF(OR(K227="",AC227=""),"",K227+AC227)</f>
        <v>92049.679</v>
      </c>
      <c r="AE227" s="518">
        <f>IF(OR(M227&lt;&gt;"",N227&lt;&gt;"",O227&lt;&gt;""),SUM(M227/'Field recov'!Q227,N227/'Field recov'!R227,O227/'Field recov'!T227),"")</f>
        <v>786.5419354838709</v>
      </c>
      <c r="AF227" s="518">
        <f t="shared" si="21"/>
        <v>13.234782608695651</v>
      </c>
      <c r="AG227" s="518">
        <f t="shared" si="25"/>
        <v>27960.079</v>
      </c>
      <c r="AH227" s="518">
        <f>IF(N227&lt;&gt;"",N227/'Field recov'!R227)</f>
        <v>1.7032258064516126</v>
      </c>
      <c r="AI227" s="518"/>
      <c r="AJ227" s="625">
        <v>0.04095</v>
      </c>
      <c r="AK227" s="508">
        <f t="shared" si="26"/>
        <v>2247855.4090354093</v>
      </c>
      <c r="AL227" s="508">
        <f t="shared" si="27"/>
        <v>19207.3732718894</v>
      </c>
      <c r="AM227" s="508">
        <f t="shared" si="28"/>
        <v>323.1937144980623</v>
      </c>
      <c r="AN227" s="508">
        <f t="shared" si="29"/>
        <v>682785.811965812</v>
      </c>
      <c r="AO227" s="508">
        <f t="shared" si="30"/>
        <v>41.59281578636416</v>
      </c>
      <c r="AP227" s="508">
        <f t="shared" si="24"/>
        <v>1465.2258852258851</v>
      </c>
      <c r="AR227" s="563"/>
    </row>
    <row r="228" spans="1:44" ht="12.75">
      <c r="A228" s="511" t="s">
        <v>172</v>
      </c>
      <c r="B228" s="520">
        <v>220.8</v>
      </c>
      <c r="C228" s="520">
        <v>988.3</v>
      </c>
      <c r="D228" s="512">
        <f>(B228/'Field recov'!B228)+(C228/'Field recov'!C228)</f>
        <v>1209.1</v>
      </c>
      <c r="E228" s="520">
        <v>116.8</v>
      </c>
      <c r="F228" s="520">
        <v>95.97</v>
      </c>
      <c r="G228" s="512">
        <f>(E228/'Field recov'!F228)+(F228/'Field recov'!G228)</f>
        <v>212.76999999999998</v>
      </c>
      <c r="H228" s="520">
        <v>1440</v>
      </c>
      <c r="I228" s="520">
        <v>10915</v>
      </c>
      <c r="J228" s="512">
        <f>(H228/'Field recov'!J228)+(I228/'Field recov'!K228)</f>
        <v>12355</v>
      </c>
      <c r="K228" s="509">
        <f t="shared" si="22"/>
        <v>13776.869999999999</v>
      </c>
      <c r="L228" s="518"/>
      <c r="M228" s="520"/>
      <c r="N228" s="511">
        <v>0.1694</v>
      </c>
      <c r="O228" s="511">
        <v>416.9</v>
      </c>
      <c r="P228" s="511">
        <v>0.4359</v>
      </c>
      <c r="Q228" s="513">
        <f>(P228*29)/('Field recov'!V228*2)</f>
        <v>6.32055</v>
      </c>
      <c r="R228" s="511">
        <v>3.777</v>
      </c>
      <c r="S228" s="512">
        <f>(R228*2)/'Field recov'!AA228</f>
        <v>8.210869565217392</v>
      </c>
      <c r="T228" s="520">
        <v>0.4878</v>
      </c>
      <c r="U228" s="520">
        <v>2.606</v>
      </c>
      <c r="V228" s="512">
        <f>(T228/'Field recov'!AC228)+(U228/'Field recov'!AD228)</f>
        <v>3.0938</v>
      </c>
      <c r="W228" s="520">
        <v>11.68</v>
      </c>
      <c r="X228" s="520">
        <v>2.827</v>
      </c>
      <c r="Y228" s="540">
        <f>(W228/'Field recov'!AG228)+(X228/'Field recov'!AH228)</f>
        <v>14.507</v>
      </c>
      <c r="Z228" s="520">
        <v>6.481</v>
      </c>
      <c r="AA228" s="520">
        <v>11.51</v>
      </c>
      <c r="AB228" s="512">
        <f>(Z228/'Field recov'!AK228)+(AA228/'Field recov'!AL228)</f>
        <v>17.991</v>
      </c>
      <c r="AC228" s="540">
        <f t="shared" si="23"/>
        <v>35.5918</v>
      </c>
      <c r="AD228" s="517">
        <f t="shared" si="31"/>
        <v>13812.4618</v>
      </c>
      <c r="AE228" s="518">
        <f>IF(OR(M228&lt;&gt;"",N228&lt;&gt;"",O228&lt;&gt;""),SUM(M228/'Field recov'!Q228,N228/'Field recov'!R228,O228/'Field recov'!T228),"")</f>
        <v>468.6091168297692</v>
      </c>
      <c r="AF228" s="518">
        <f t="shared" si="21"/>
        <v>8.210869565217392</v>
      </c>
      <c r="AG228" s="518">
        <f t="shared" si="25"/>
        <v>35.5918</v>
      </c>
      <c r="AH228" s="518">
        <f>IF(N228&lt;&gt;"",N228/'Field recov'!R228)</f>
        <v>0.18215053763440858</v>
      </c>
      <c r="AI228" s="518"/>
      <c r="AJ228" s="625">
        <v>0.066375</v>
      </c>
      <c r="AK228" s="508">
        <f t="shared" si="26"/>
        <v>208097.3529190207</v>
      </c>
      <c r="AL228" s="508">
        <f t="shared" si="27"/>
        <v>7060.024359017239</v>
      </c>
      <c r="AM228" s="508">
        <f t="shared" si="28"/>
        <v>123.70424957013019</v>
      </c>
      <c r="AN228" s="508">
        <f t="shared" si="29"/>
        <v>536.2229755178907</v>
      </c>
      <c r="AO228" s="508">
        <f t="shared" si="30"/>
        <v>2.7442642204807317</v>
      </c>
      <c r="AP228" s="508">
        <f t="shared" si="24"/>
        <v>95.22485875706214</v>
      </c>
      <c r="AR228" s="563"/>
    </row>
    <row r="229" spans="1:44" ht="12.75">
      <c r="A229" s="511" t="s">
        <v>173</v>
      </c>
      <c r="B229" s="520">
        <v>147.8</v>
      </c>
      <c r="C229" s="520">
        <v>4294</v>
      </c>
      <c r="D229" s="512">
        <f>(B229/'Field recov'!B229)+(C229/'Field recov'!C229)</f>
        <v>4441.8</v>
      </c>
      <c r="E229" s="520">
        <v>173.7</v>
      </c>
      <c r="F229" s="520">
        <v>937.7</v>
      </c>
      <c r="G229" s="512">
        <f>(E229/'Field recov'!F229)+(F229/'Field recov'!G229)</f>
        <v>1111.4</v>
      </c>
      <c r="H229" s="520">
        <v>6415</v>
      </c>
      <c r="I229" s="520">
        <v>24634</v>
      </c>
      <c r="J229" s="512">
        <f>(H229/'Field recov'!J229)+(I229/'Field recov'!K229)</f>
        <v>31049</v>
      </c>
      <c r="K229" s="509">
        <f t="shared" si="22"/>
        <v>36602.2</v>
      </c>
      <c r="L229" s="518"/>
      <c r="M229" s="520"/>
      <c r="N229" s="511">
        <v>41.43</v>
      </c>
      <c r="O229" s="511">
        <v>716.1</v>
      </c>
      <c r="P229" s="511">
        <v>0.5503</v>
      </c>
      <c r="Q229" s="513">
        <f>(P229*29)/('Field recov'!V229*2)</f>
        <v>7.97935</v>
      </c>
      <c r="R229" s="511">
        <v>7.924</v>
      </c>
      <c r="S229" s="512">
        <f>(R229*2)/'Field recov'!AA229</f>
        <v>17.22608695652174</v>
      </c>
      <c r="T229" s="520">
        <v>17.46</v>
      </c>
      <c r="U229" s="520">
        <v>11.7</v>
      </c>
      <c r="V229" s="512">
        <f>(T229/'Field recov'!AC229)+(U229/'Field recov'!AD229)</f>
        <v>29.16</v>
      </c>
      <c r="W229" s="520">
        <v>28.24</v>
      </c>
      <c r="X229" s="520">
        <v>9.967</v>
      </c>
      <c r="Y229" s="540">
        <f>(W229/'Field recov'!AG229)+(X229/'Field recov'!AH229)</f>
        <v>38.207</v>
      </c>
      <c r="Z229" s="520">
        <v>577.4</v>
      </c>
      <c r="AA229" s="520">
        <v>1009</v>
      </c>
      <c r="AB229" s="512">
        <f>(Z229/'Field recov'!AK229)+(AA229/'Field recov'!AL229)</f>
        <v>1586.4</v>
      </c>
      <c r="AC229" s="540">
        <f t="shared" si="23"/>
        <v>1653.767</v>
      </c>
      <c r="AD229" s="517">
        <f t="shared" si="31"/>
        <v>38255.967</v>
      </c>
      <c r="AE229" s="518">
        <f>IF(OR(M229&lt;&gt;"",N229&lt;&gt;"",O229&lt;&gt;""),SUM(M229/'Field recov'!Q229,N229/'Field recov'!R229,O229/'Field recov'!T229),"")</f>
        <v>814.5483870967741</v>
      </c>
      <c r="AF229" s="518">
        <f t="shared" si="21"/>
        <v>17.22608695652174</v>
      </c>
      <c r="AG229" s="518">
        <f t="shared" si="25"/>
        <v>1653.767</v>
      </c>
      <c r="AH229" s="518">
        <f>IF(N229&lt;&gt;"",N229/'Field recov'!R229)</f>
        <v>44.54838709677419</v>
      </c>
      <c r="AI229" s="518"/>
      <c r="AJ229" s="625">
        <v>0.06675</v>
      </c>
      <c r="AK229" s="508">
        <f t="shared" si="26"/>
        <v>573123.1011235954</v>
      </c>
      <c r="AL229" s="508">
        <f t="shared" si="27"/>
        <v>12202.97209133744</v>
      </c>
      <c r="AM229" s="508">
        <f t="shared" si="28"/>
        <v>258.0687184497639</v>
      </c>
      <c r="AN229" s="508">
        <f t="shared" si="29"/>
        <v>24775.535580524345</v>
      </c>
      <c r="AO229" s="508">
        <f t="shared" si="30"/>
        <v>667.3915669928717</v>
      </c>
      <c r="AP229" s="508">
        <f t="shared" si="24"/>
        <v>119.54082397003745</v>
      </c>
      <c r="AR229" s="563"/>
    </row>
    <row r="230" spans="1:44" ht="12.75">
      <c r="A230" s="511" t="s">
        <v>174</v>
      </c>
      <c r="B230" s="520">
        <v>123.8</v>
      </c>
      <c r="C230" s="520">
        <v>936.6</v>
      </c>
      <c r="D230" s="512">
        <f>(B230/'Field recov'!B230)+(C230/'Field recov'!C230)</f>
        <v>1060.4</v>
      </c>
      <c r="E230" s="520">
        <v>80.07</v>
      </c>
      <c r="F230" s="520">
        <v>564.9</v>
      </c>
      <c r="G230" s="512">
        <f>(E230/'Field recov'!F230)+(F230/'Field recov'!G230)</f>
        <v>644.97</v>
      </c>
      <c r="H230" s="520">
        <v>1372</v>
      </c>
      <c r="I230" s="520">
        <v>17837</v>
      </c>
      <c r="J230" s="512">
        <f>(H230/'Field recov'!J230)+(I230/'Field recov'!K230)</f>
        <v>19209</v>
      </c>
      <c r="K230" s="509">
        <f t="shared" si="22"/>
        <v>20914.37</v>
      </c>
      <c r="L230" s="518"/>
      <c r="M230" s="520"/>
      <c r="N230" s="511">
        <v>3.406</v>
      </c>
      <c r="O230" s="511">
        <v>432.6</v>
      </c>
      <c r="P230" s="511">
        <v>0.5598</v>
      </c>
      <c r="Q230" s="513">
        <f>(P230*29)/('Field recov'!V230*2)</f>
        <v>8.117099999999999</v>
      </c>
      <c r="R230" s="511">
        <v>3.734</v>
      </c>
      <c r="S230" s="512">
        <f>(R230*2)/'Field recov'!AA230</f>
        <v>8.117391304347827</v>
      </c>
      <c r="T230" s="520">
        <v>1.054</v>
      </c>
      <c r="U230" s="520">
        <v>3.6</v>
      </c>
      <c r="V230" s="512">
        <f>(T230/'Field recov'!AC230)+(U230/'Field recov'!AD230)</f>
        <v>4.654</v>
      </c>
      <c r="W230" s="520">
        <v>20.13</v>
      </c>
      <c r="X230" s="520">
        <v>6.9239999999999995</v>
      </c>
      <c r="Y230" s="540">
        <f>(W230/'Field recov'!AG230)+(X230/'Field recov'!AH230)</f>
        <v>27.054</v>
      </c>
      <c r="Z230" s="520">
        <v>13.5</v>
      </c>
      <c r="AA230" s="520">
        <v>1319</v>
      </c>
      <c r="AB230" s="512">
        <f>(Z230/'Field recov'!AK230)+(AA230/'Field recov'!AL230)</f>
        <v>1332.5</v>
      </c>
      <c r="AC230" s="540">
        <f t="shared" si="23"/>
        <v>1364.208</v>
      </c>
      <c r="AD230" s="517">
        <f t="shared" si="31"/>
        <v>22278.577999999998</v>
      </c>
      <c r="AE230" s="518">
        <f>IF(OR(M230&lt;&gt;"",N230&lt;&gt;"",O230&lt;&gt;""),SUM(M230/'Field recov'!Q230,N230/'Field recov'!R230,O230/'Field recov'!T230),"")</f>
        <v>489.72978132173495</v>
      </c>
      <c r="AF230" s="518">
        <f t="shared" si="21"/>
        <v>8.117391304347827</v>
      </c>
      <c r="AG230" s="518">
        <f t="shared" si="25"/>
        <v>1364.208</v>
      </c>
      <c r="AH230" s="518">
        <f>IF(N230&lt;&gt;"",N230/'Field recov'!R230)</f>
        <v>3.6623655913978492</v>
      </c>
      <c r="AI230" s="518"/>
      <c r="AJ230" s="625">
        <v>0.0575625</v>
      </c>
      <c r="AK230" s="508">
        <f t="shared" si="26"/>
        <v>387032.8425624321</v>
      </c>
      <c r="AL230" s="508">
        <f t="shared" si="27"/>
        <v>8507.792075079</v>
      </c>
      <c r="AM230" s="508">
        <f t="shared" si="28"/>
        <v>141.01874144361045</v>
      </c>
      <c r="AN230" s="508">
        <f t="shared" si="29"/>
        <v>23699.59609120521</v>
      </c>
      <c r="AO230" s="508">
        <f t="shared" si="30"/>
        <v>63.624157939593466</v>
      </c>
      <c r="AP230" s="508">
        <f t="shared" si="24"/>
        <v>141.01368078175892</v>
      </c>
      <c r="AR230" s="563"/>
    </row>
    <row r="231" spans="1:44" ht="12.75">
      <c r="A231" s="511" t="s">
        <v>175</v>
      </c>
      <c r="B231" s="520">
        <v>1435</v>
      </c>
      <c r="C231" s="520">
        <v>6797</v>
      </c>
      <c r="D231" s="512">
        <f>(B231/'Field recov'!B231)+(C231/'Field recov'!C231)</f>
        <v>8232</v>
      </c>
      <c r="E231" s="520">
        <v>1115</v>
      </c>
      <c r="F231" s="520">
        <v>3792</v>
      </c>
      <c r="G231" s="512">
        <f>(E231/'Field recov'!F231)+(F231/'Field recov'!G231)</f>
        <v>4907</v>
      </c>
      <c r="H231" s="520">
        <v>24549</v>
      </c>
      <c r="I231" s="520">
        <v>27686</v>
      </c>
      <c r="J231" s="512">
        <f>(H231/'Field recov'!J231)+(I231/'Field recov'!K231)</f>
        <v>52235</v>
      </c>
      <c r="K231" s="509">
        <f t="shared" si="22"/>
        <v>65374</v>
      </c>
      <c r="L231" s="518"/>
      <c r="M231" s="520"/>
      <c r="N231" s="511">
        <v>0.34909999999999997</v>
      </c>
      <c r="O231" s="511">
        <v>1295</v>
      </c>
      <c r="P231" s="511">
        <v>6.109</v>
      </c>
      <c r="Q231" s="513">
        <f>(P231*29)/('Field recov'!V231*2)</f>
        <v>88.5805</v>
      </c>
      <c r="R231" s="511">
        <v>4.4190000000000005</v>
      </c>
      <c r="S231" s="512">
        <f>(R231*2)/'Field recov'!AA231</f>
        <v>9.606521739130436</v>
      </c>
      <c r="T231" s="520">
        <v>16.82</v>
      </c>
      <c r="U231" s="520">
        <v>0.7158000000000001</v>
      </c>
      <c r="V231" s="512">
        <f>(T231/'Field recov'!AC231)+(U231/'Field recov'!AD231)</f>
        <v>17.535800000000002</v>
      </c>
      <c r="W231" s="520">
        <v>517.4</v>
      </c>
      <c r="X231" s="520">
        <v>37.56</v>
      </c>
      <c r="Y231" s="540">
        <f>(W231/'Field recov'!AG231)+(X231/'Field recov'!AH231)</f>
        <v>554.96</v>
      </c>
      <c r="Z231" s="520">
        <v>7488</v>
      </c>
      <c r="AA231" s="520">
        <v>4120</v>
      </c>
      <c r="AB231" s="512">
        <f>(Z231/'Field recov'!AK231)+(AA231/'Field recov'!AL231)</f>
        <v>11608</v>
      </c>
      <c r="AC231" s="540">
        <f t="shared" si="23"/>
        <v>12180.4958</v>
      </c>
      <c r="AD231" s="517">
        <f t="shared" si="31"/>
        <v>77554.4958</v>
      </c>
      <c r="AE231" s="518">
        <f>IF(OR(M231&lt;&gt;"",N231&lt;&gt;"",O231&lt;&gt;""),SUM(M231/'Field recov'!Q231,N231/'Field recov'!R231,O231/'Field recov'!T231),"")</f>
        <v>1392.848494623656</v>
      </c>
      <c r="AF231" s="518">
        <f t="shared" si="21"/>
        <v>9.606521739130436</v>
      </c>
      <c r="AG231" s="518">
        <f t="shared" si="25"/>
        <v>12180.4958</v>
      </c>
      <c r="AH231" s="518">
        <f>IF(N231&lt;&gt;"",N231/'Field recov'!R231)</f>
        <v>0.37537634408602144</v>
      </c>
      <c r="AI231" s="518"/>
      <c r="AJ231" s="625">
        <v>0.075005</v>
      </c>
      <c r="AK231" s="508">
        <f t="shared" si="26"/>
        <v>1033991.0112659156</v>
      </c>
      <c r="AL231" s="508">
        <f t="shared" si="27"/>
        <v>18570.075256631637</v>
      </c>
      <c r="AM231" s="508">
        <f t="shared" si="28"/>
        <v>128.07841796054177</v>
      </c>
      <c r="AN231" s="508">
        <f t="shared" si="29"/>
        <v>162395.78428104793</v>
      </c>
      <c r="AO231" s="508">
        <f t="shared" si="30"/>
        <v>5.004684275528584</v>
      </c>
      <c r="AP231" s="508">
        <f t="shared" si="24"/>
        <v>1180.994600359976</v>
      </c>
      <c r="AR231" s="563"/>
    </row>
    <row r="232" spans="1:44" ht="12.75">
      <c r="A232" s="511" t="s">
        <v>176</v>
      </c>
      <c r="B232" s="520">
        <v>645.5</v>
      </c>
      <c r="C232" s="520">
        <v>4230</v>
      </c>
      <c r="D232" s="512">
        <f>(B232/'Field recov'!B232)+(C232/'Field recov'!C232)</f>
        <v>4875.5</v>
      </c>
      <c r="E232" s="520">
        <v>351.8</v>
      </c>
      <c r="F232" s="520">
        <v>742.3</v>
      </c>
      <c r="G232" s="512">
        <f>(E232/'Field recov'!F232)+(F232/'Field recov'!G232)</f>
        <v>1094.1</v>
      </c>
      <c r="H232" s="520">
        <v>17637</v>
      </c>
      <c r="I232" s="520">
        <v>25969</v>
      </c>
      <c r="J232" s="512">
        <f>(H232/'Field recov'!J232)+(I232/'Field recov'!K232)</f>
        <v>43606</v>
      </c>
      <c r="K232" s="509">
        <f t="shared" si="22"/>
        <v>49575.6</v>
      </c>
      <c r="L232" s="518"/>
      <c r="M232" s="520"/>
      <c r="N232" s="511">
        <v>0.4062</v>
      </c>
      <c r="O232" s="511">
        <v>982.8</v>
      </c>
      <c r="P232" s="511">
        <v>0.6373000000000001</v>
      </c>
      <c r="Q232" s="513">
        <f>(P232*29)/('Field recov'!V232*2)</f>
        <v>9.240850000000002</v>
      </c>
      <c r="R232" s="511">
        <v>18.03</v>
      </c>
      <c r="S232" s="512">
        <f>(R232*2)/'Field recov'!AA232</f>
        <v>39.19565217391305</v>
      </c>
      <c r="T232" s="520">
        <v>1.6119999999999999</v>
      </c>
      <c r="U232" s="520">
        <v>0.5552</v>
      </c>
      <c r="V232" s="512">
        <f>(T232/'Field recov'!AC232)+(U232/'Field recov'!AD232)</f>
        <v>2.1672</v>
      </c>
      <c r="W232" s="520">
        <v>782.3</v>
      </c>
      <c r="X232" s="520">
        <v>38.43</v>
      </c>
      <c r="Y232" s="540">
        <f>(W232/'Field recov'!AG232)+(X232/'Field recov'!AH232)</f>
        <v>820.7299999999999</v>
      </c>
      <c r="Z232" s="520">
        <v>12429</v>
      </c>
      <c r="AA232" s="520">
        <v>22552</v>
      </c>
      <c r="AB232" s="512">
        <f>(Z232/'Field recov'!AK232)+(AA232/'Field recov'!AL232)</f>
        <v>34981</v>
      </c>
      <c r="AC232" s="540">
        <f t="shared" si="23"/>
        <v>35803.8972</v>
      </c>
      <c r="AD232" s="517">
        <f t="shared" si="31"/>
        <v>85379.4972</v>
      </c>
      <c r="AE232" s="518">
        <f>IF(OR(M232&lt;&gt;"",N232&lt;&gt;"",O232&lt;&gt;""),SUM(M232/'Field recov'!Q232,N232/'Field recov'!R232,O232/'Field recov'!T232),"")</f>
        <v>1057.2109677419355</v>
      </c>
      <c r="AF232" s="518">
        <f t="shared" si="21"/>
        <v>39.19565217391305</v>
      </c>
      <c r="AG232" s="518">
        <f t="shared" si="25"/>
        <v>35803.8972</v>
      </c>
      <c r="AH232" s="518">
        <f>IF(N232&lt;&gt;"",N232/'Field recov'!R232)</f>
        <v>0.4367741935483871</v>
      </c>
      <c r="AI232" s="518"/>
      <c r="AJ232" s="625">
        <v>0.03525</v>
      </c>
      <c r="AK232" s="508">
        <f t="shared" si="26"/>
        <v>2422113.395744681</v>
      </c>
      <c r="AL232" s="508">
        <f t="shared" si="27"/>
        <v>29991.80050331732</v>
      </c>
      <c r="AM232" s="508">
        <f t="shared" si="28"/>
        <v>1111.9333950046255</v>
      </c>
      <c r="AN232" s="508">
        <f t="shared" si="29"/>
        <v>1015713.3957446809</v>
      </c>
      <c r="AO232" s="508">
        <f t="shared" si="30"/>
        <v>12.390757263784032</v>
      </c>
      <c r="AP232" s="508">
        <f t="shared" si="24"/>
        <v>262.15177304964544</v>
      </c>
      <c r="AR232" s="563"/>
    </row>
    <row r="233" spans="1:44" ht="12.75">
      <c r="A233" s="511" t="s">
        <v>177</v>
      </c>
      <c r="B233" s="520">
        <v>156.2</v>
      </c>
      <c r="C233" s="520">
        <v>170.6</v>
      </c>
      <c r="D233" s="512">
        <f>(B233/'Field recov'!B233)+(C233/'Field recov'!C233)</f>
        <v>326.79999999999995</v>
      </c>
      <c r="E233" s="520">
        <v>34.87</v>
      </c>
      <c r="F233" s="520">
        <v>81.38</v>
      </c>
      <c r="G233" s="512">
        <f>(E233/'Field recov'!F233)+(F233/'Field recov'!G233)</f>
        <v>116.25</v>
      </c>
      <c r="H233" s="520">
        <v>2788</v>
      </c>
      <c r="I233" s="520">
        <v>25976</v>
      </c>
      <c r="J233" s="512">
        <f>(H233/'Field recov'!J233)+(I233/'Field recov'!K233)</f>
        <v>28764</v>
      </c>
      <c r="K233" s="509">
        <f t="shared" si="22"/>
        <v>29207.05</v>
      </c>
      <c r="L233" s="518"/>
      <c r="M233" s="520"/>
      <c r="N233" s="511">
        <v>0.3035</v>
      </c>
      <c r="O233" s="511">
        <v>202.8</v>
      </c>
      <c r="P233" s="511">
        <v>6.739</v>
      </c>
      <c r="Q233" s="513">
        <f>(P233*29)/('Field recov'!V233*2)</f>
        <v>97.71549999999999</v>
      </c>
      <c r="R233" s="511">
        <v>1.454</v>
      </c>
      <c r="S233" s="512">
        <f>(R233*2)/'Field recov'!AA233</f>
        <v>3.126881720430107</v>
      </c>
      <c r="T233" s="520">
        <v>1.25</v>
      </c>
      <c r="U233" s="520">
        <v>2.477</v>
      </c>
      <c r="V233" s="512">
        <f>(T233/'Field recov'!AC233)+(U233/'Field recov'!AD233)</f>
        <v>3.727</v>
      </c>
      <c r="W233" s="520">
        <v>31.5</v>
      </c>
      <c r="X233" s="520">
        <v>12.05</v>
      </c>
      <c r="Y233" s="540">
        <f>(W233/'Field recov'!AG233)+(X233/'Field recov'!AH233)</f>
        <v>43.55</v>
      </c>
      <c r="Z233" s="520">
        <v>30.51</v>
      </c>
      <c r="AA233" s="520">
        <v>105.4</v>
      </c>
      <c r="AB233" s="512">
        <f>(Z233/'Field recov'!AK233)+(AA233/'Field recov'!AL233)</f>
        <v>135.91</v>
      </c>
      <c r="AC233" s="540">
        <f t="shared" si="23"/>
        <v>183.18699999999998</v>
      </c>
      <c r="AD233" s="517">
        <f t="shared" si="31"/>
        <v>29390.237</v>
      </c>
      <c r="AE233" s="518">
        <f>IF(OR(M233&lt;&gt;"",N233&lt;&gt;"",O233&lt;&gt;""),SUM(M233/'Field recov'!Q233,N233/'Field recov'!R233,O233/'Field recov'!T233),"")</f>
        <v>228.19151262534734</v>
      </c>
      <c r="AF233" s="518">
        <f t="shared" si="21"/>
        <v>3.126881720430107</v>
      </c>
      <c r="AG233" s="518">
        <f t="shared" si="25"/>
        <v>183.18699999999998</v>
      </c>
      <c r="AH233" s="518">
        <f>IF(N233&lt;&gt;"",N233/'Field recov'!R233)</f>
        <v>0.32634408602150533</v>
      </c>
      <c r="AI233" s="518"/>
      <c r="AJ233" s="625">
        <v>0.0622802</v>
      </c>
      <c r="AK233" s="508">
        <f t="shared" si="26"/>
        <v>471903.38181316055</v>
      </c>
      <c r="AL233" s="508">
        <f t="shared" si="27"/>
        <v>3663.949579888108</v>
      </c>
      <c r="AM233" s="508">
        <f t="shared" si="28"/>
        <v>50.20667435926839</v>
      </c>
      <c r="AN233" s="508">
        <f t="shared" si="29"/>
        <v>2941.3360907639985</v>
      </c>
      <c r="AO233" s="508">
        <f t="shared" si="30"/>
        <v>5.239933173328045</v>
      </c>
      <c r="AP233" s="508">
        <f t="shared" si="24"/>
        <v>1568.9657387098948</v>
      </c>
      <c r="AR233" s="563"/>
    </row>
    <row r="234" spans="1:44" ht="12.75">
      <c r="A234" s="511" t="s">
        <v>178</v>
      </c>
      <c r="B234" s="520">
        <v>668.7</v>
      </c>
      <c r="C234" s="520">
        <v>835.9</v>
      </c>
      <c r="D234" s="512">
        <f>(B234/'Field recov'!B234)+(C234/'Field recov'!C234)</f>
        <v>1504.6</v>
      </c>
      <c r="E234" s="520">
        <v>142</v>
      </c>
      <c r="F234" s="520">
        <v>441.3</v>
      </c>
      <c r="G234" s="512">
        <f>(E234/'Field recov'!F234)+(F234/'Field recov'!G234)</f>
        <v>583.3</v>
      </c>
      <c r="H234" s="520">
        <v>14300</v>
      </c>
      <c r="I234" s="520">
        <v>25659</v>
      </c>
      <c r="J234" s="512">
        <f>(H234/'Field recov'!J234)+(I234/'Field recov'!K234)</f>
        <v>39959</v>
      </c>
      <c r="K234" s="509">
        <f t="shared" si="22"/>
        <v>42046.9</v>
      </c>
      <c r="L234" s="518"/>
      <c r="M234" s="520"/>
      <c r="N234" s="511">
        <v>0.6925</v>
      </c>
      <c r="O234" s="511">
        <v>851.6</v>
      </c>
      <c r="P234" s="511">
        <v>0.5760000000000001</v>
      </c>
      <c r="Q234" s="513">
        <f>(P234*29)/('Field recov'!V234*2)</f>
        <v>8.352</v>
      </c>
      <c r="R234" s="511">
        <v>5.257000000000001</v>
      </c>
      <c r="S234" s="512">
        <f>(R234*2)/'Field recov'!AA234</f>
        <v>11.428260869565218</v>
      </c>
      <c r="T234" s="520">
        <v>14.22</v>
      </c>
      <c r="U234" s="520">
        <v>0.479</v>
      </c>
      <c r="V234" s="512">
        <f>(T234/'Field recov'!AC234)+(U234/'Field recov'!AD234)</f>
        <v>14.699</v>
      </c>
      <c r="W234" s="520">
        <v>13.84</v>
      </c>
      <c r="X234" s="520">
        <v>31.38</v>
      </c>
      <c r="Y234" s="540">
        <f>(W234/'Field recov'!AG234)+(X234/'Field recov'!AH234)</f>
        <v>45.22</v>
      </c>
      <c r="Z234" s="520">
        <v>4960</v>
      </c>
      <c r="AA234" s="520">
        <v>10971</v>
      </c>
      <c r="AB234" s="512">
        <f>(Z234/'Field recov'!AK234)+(AA234/'Field recov'!AL234)</f>
        <v>15931</v>
      </c>
      <c r="AC234" s="540">
        <f t="shared" si="23"/>
        <v>15990.919</v>
      </c>
      <c r="AD234" s="517">
        <f t="shared" si="31"/>
        <v>58037.819</v>
      </c>
      <c r="AE234" s="518">
        <f>IF(OR(M234&lt;&gt;"",N234&lt;&gt;"",O234&lt;&gt;""),SUM(M234/'Field recov'!Q234,N234/'Field recov'!R234,O234/'Field recov'!T234),"")</f>
        <v>916.4435483870967</v>
      </c>
      <c r="AF234" s="518">
        <f t="shared" si="21"/>
        <v>11.428260869565218</v>
      </c>
      <c r="AG234" s="518">
        <f t="shared" si="25"/>
        <v>15990.919</v>
      </c>
      <c r="AH234" s="518">
        <f>IF(N234&lt;&gt;"",N234/'Field recov'!R234)</f>
        <v>0.7446236559139785</v>
      </c>
      <c r="AI234" s="518"/>
      <c r="AJ234" s="625">
        <v>0.028875</v>
      </c>
      <c r="AK234" s="508">
        <f t="shared" si="26"/>
        <v>2009967.7575757576</v>
      </c>
      <c r="AL234" s="508">
        <f t="shared" si="27"/>
        <v>31738.304706046638</v>
      </c>
      <c r="AM234" s="508">
        <f t="shared" si="28"/>
        <v>395.7839262187088</v>
      </c>
      <c r="AN234" s="508">
        <f t="shared" si="29"/>
        <v>553798.0606060605</v>
      </c>
      <c r="AO234" s="508">
        <f t="shared" si="30"/>
        <v>25.78783223944514</v>
      </c>
      <c r="AP234" s="508">
        <f t="shared" si="24"/>
        <v>289.24675324675326</v>
      </c>
      <c r="AR234" s="563"/>
    </row>
    <row r="235" spans="1:44" ht="12.75">
      <c r="A235" s="511" t="s">
        <v>179</v>
      </c>
      <c r="B235" s="520">
        <v>1266</v>
      </c>
      <c r="C235" s="520">
        <v>1623</v>
      </c>
      <c r="D235" s="512">
        <f>(B235/'Field recov'!B235)+(C235/'Field recov'!C235)</f>
        <v>2889</v>
      </c>
      <c r="E235" s="520">
        <v>322.4</v>
      </c>
      <c r="F235" s="520">
        <v>779.1</v>
      </c>
      <c r="G235" s="512">
        <f>(E235/'Field recov'!F235)+(F235/'Field recov'!G235)</f>
        <v>1101.5</v>
      </c>
      <c r="H235" s="520">
        <v>5500</v>
      </c>
      <c r="I235" s="520">
        <v>27549</v>
      </c>
      <c r="J235" s="512">
        <f>(H235/'Field recov'!J235)+(I235/'Field recov'!K235)</f>
        <v>33049</v>
      </c>
      <c r="K235" s="509">
        <f t="shared" si="22"/>
        <v>37039.5</v>
      </c>
      <c r="L235" s="518"/>
      <c r="M235" s="511"/>
      <c r="N235" s="511">
        <v>0.5055</v>
      </c>
      <c r="O235" s="511">
        <v>678.2</v>
      </c>
      <c r="P235" s="511">
        <v>0.6742</v>
      </c>
      <c r="Q235" s="513">
        <f>(P235*29)/('Field recov'!V235*2)</f>
        <v>9.7759</v>
      </c>
      <c r="R235" s="511">
        <v>5.771</v>
      </c>
      <c r="S235" s="512">
        <f>(R235*2)/'Field recov'!AA235</f>
        <v>12.545652173913043</v>
      </c>
      <c r="T235" s="520">
        <v>1.2429999999999999</v>
      </c>
      <c r="U235" s="520">
        <v>5.348999999999999</v>
      </c>
      <c r="V235" s="512">
        <f>(T235/'Field recov'!AC235)+(U235/'Field recov'!AD235)</f>
        <v>6.591999999999999</v>
      </c>
      <c r="W235" s="520">
        <v>12.52</v>
      </c>
      <c r="X235" s="520">
        <v>68.01</v>
      </c>
      <c r="Y235" s="540">
        <f>(W235/'Field recov'!AG235)+(X235/'Field recov'!AH235)</f>
        <v>80.53</v>
      </c>
      <c r="Z235" s="520">
        <v>2395</v>
      </c>
      <c r="AA235" s="520">
        <v>7695</v>
      </c>
      <c r="AB235" s="512">
        <f>(Z235/'Field recov'!AK235)+(AA235/'Field recov'!AL235)</f>
        <v>10090</v>
      </c>
      <c r="AC235" s="540">
        <f t="shared" si="23"/>
        <v>10177.122</v>
      </c>
      <c r="AD235" s="517">
        <f t="shared" si="31"/>
        <v>47216.622</v>
      </c>
      <c r="AE235" s="518">
        <f>IF(OR(M235&lt;&gt;"",N235&lt;&gt;"",O235&lt;&gt;""),SUM(M235/'Field recov'!Q235,N235/'Field recov'!R235,O235/'Field recov'!T235),"")</f>
        <v>729.7908602150537</v>
      </c>
      <c r="AF235" s="518">
        <f t="shared" si="21"/>
        <v>12.545652173913043</v>
      </c>
      <c r="AG235" s="518">
        <f t="shared" si="25"/>
        <v>10177.122</v>
      </c>
      <c r="AH235" s="518">
        <f>IF(N235&lt;&gt;"",N235/'Field recov'!R235)</f>
        <v>0.5435483870967741</v>
      </c>
      <c r="AI235" s="518"/>
      <c r="AJ235" s="625">
        <v>0.045450000000000004</v>
      </c>
      <c r="AK235" s="508">
        <f t="shared" si="26"/>
        <v>1038869.5709570957</v>
      </c>
      <c r="AL235" s="508">
        <f t="shared" si="27"/>
        <v>16057.0046251937</v>
      </c>
      <c r="AM235" s="508">
        <f t="shared" si="28"/>
        <v>276.03195102118906</v>
      </c>
      <c r="AN235" s="508">
        <f t="shared" si="29"/>
        <v>223919.0759075907</v>
      </c>
      <c r="AO235" s="508">
        <f t="shared" si="30"/>
        <v>11.959260442173246</v>
      </c>
      <c r="AP235" s="508">
        <f t="shared" si="24"/>
        <v>215.09130913091306</v>
      </c>
      <c r="AR235" s="563"/>
    </row>
    <row r="236" spans="1:44" ht="12.75">
      <c r="A236" s="511" t="s">
        <v>180</v>
      </c>
      <c r="B236" s="520">
        <v>255.3</v>
      </c>
      <c r="C236" s="520">
        <v>574.2</v>
      </c>
      <c r="D236" s="512">
        <f>(B236/'Field recov'!B236)+(C236/'Field recov'!C236)</f>
        <v>829.5</v>
      </c>
      <c r="E236" s="520">
        <v>73.33</v>
      </c>
      <c r="F236" s="520">
        <v>84.53</v>
      </c>
      <c r="G236" s="512">
        <f>(E236/'Field recov'!F236)+(F236/'Field recov'!G236)</f>
        <v>157.86</v>
      </c>
      <c r="H236" s="520">
        <v>9156</v>
      </c>
      <c r="I236" s="520">
        <v>39905</v>
      </c>
      <c r="J236" s="512">
        <f>(H236/'Field recov'!J236)+(I236/'Field recov'!K236)</f>
        <v>49061</v>
      </c>
      <c r="K236" s="509">
        <f t="shared" si="22"/>
        <v>50048.36</v>
      </c>
      <c r="L236" s="518"/>
      <c r="M236" s="511"/>
      <c r="N236" s="511">
        <v>11.21</v>
      </c>
      <c r="O236" s="511">
        <v>570.9</v>
      </c>
      <c r="P236" s="511"/>
      <c r="Q236" s="513"/>
      <c r="R236" s="511">
        <v>1.193</v>
      </c>
      <c r="S236" s="512">
        <f>(R236*2)/'Field recov'!AA236</f>
        <v>2.565591397849462</v>
      </c>
      <c r="T236" s="520">
        <v>0.6151000000000001</v>
      </c>
      <c r="U236" s="520">
        <v>1.0939999999999999</v>
      </c>
      <c r="V236" s="512">
        <f>(T236/'Field recov'!AC236)+(U236/'Field recov'!AD236)</f>
        <v>1.7090999999999998</v>
      </c>
      <c r="W236" s="520">
        <v>6.355</v>
      </c>
      <c r="X236" s="520">
        <v>9.190999999999999</v>
      </c>
      <c r="Y236" s="540">
        <f>(W236/'Field recov'!AG236)+(X236/'Field recov'!AH236)</f>
        <v>15.546</v>
      </c>
      <c r="Z236" s="520">
        <v>1479</v>
      </c>
      <c r="AA236" s="520">
        <v>1952</v>
      </c>
      <c r="AB236" s="512">
        <f>(Z236/'Field recov'!AK236)+(AA236/'Field recov'!AL236)</f>
        <v>3431</v>
      </c>
      <c r="AC236" s="540">
        <f t="shared" si="23"/>
        <v>3448.2551</v>
      </c>
      <c r="AD236" s="517">
        <f t="shared" si="31"/>
        <v>53496.6151</v>
      </c>
      <c r="AE236" s="518">
        <f>IF(OR(M236&lt;&gt;"",N236&lt;&gt;"",O236&lt;&gt;""),SUM(M236/'Field recov'!Q236,N236/'Field recov'!R236,O236/'Field recov'!T236),"")</f>
        <v>653.5144375981635</v>
      </c>
      <c r="AF236" s="518">
        <f t="shared" si="21"/>
        <v>2.565591397849462</v>
      </c>
      <c r="AG236" s="518">
        <f t="shared" si="25"/>
        <v>3448.2551</v>
      </c>
      <c r="AH236" s="518">
        <f>IF(N236&lt;&gt;"",N236/'Field recov'!R236)</f>
        <v>12.053763440860216</v>
      </c>
      <c r="AI236" s="518"/>
      <c r="AJ236" s="625">
        <v>0.044774999999999995</v>
      </c>
      <c r="AK236" s="508">
        <f t="shared" si="26"/>
        <v>1194787.6069235066</v>
      </c>
      <c r="AL236" s="508">
        <f t="shared" si="27"/>
        <v>14595.520661042177</v>
      </c>
      <c r="AM236" s="508">
        <f t="shared" si="28"/>
        <v>57.29964037631407</v>
      </c>
      <c r="AN236" s="508">
        <f t="shared" si="29"/>
        <v>77012.95589056394</v>
      </c>
      <c r="AO236" s="508">
        <f t="shared" si="30"/>
        <v>269.207447032054</v>
      </c>
      <c r="AP236" s="508"/>
      <c r="AR236" s="563"/>
    </row>
    <row r="237" spans="1:44" ht="12.75">
      <c r="A237" s="511" t="s">
        <v>181</v>
      </c>
      <c r="B237" s="520">
        <v>561.4</v>
      </c>
      <c r="C237" s="520">
        <v>1449</v>
      </c>
      <c r="D237" s="512">
        <f>(B237/'Field recov'!B237)+(C237/'Field recov'!C237)</f>
        <v>2010.4</v>
      </c>
      <c r="E237" s="520">
        <v>567.7</v>
      </c>
      <c r="F237" s="520">
        <v>973.8</v>
      </c>
      <c r="G237" s="512">
        <f>(E237/'Field recov'!F237)+(F237/'Field recov'!G237)</f>
        <v>1541.5</v>
      </c>
      <c r="H237" s="520">
        <v>7190</v>
      </c>
      <c r="I237" s="520">
        <v>30819</v>
      </c>
      <c r="J237" s="512">
        <f>(H237/'Field recov'!J237)+(I237/'Field recov'!K237)</f>
        <v>38009</v>
      </c>
      <c r="K237" s="509">
        <f t="shared" si="22"/>
        <v>41560.9</v>
      </c>
      <c r="L237" s="518"/>
      <c r="M237" s="511"/>
      <c r="N237" s="511">
        <v>1.307</v>
      </c>
      <c r="O237" s="511">
        <v>1229</v>
      </c>
      <c r="P237" s="511">
        <v>4.157</v>
      </c>
      <c r="Q237" s="513">
        <f>(P237*29)/('Field recov'!V237*2)</f>
        <v>60.2765</v>
      </c>
      <c r="R237" s="511">
        <v>9.689</v>
      </c>
      <c r="S237" s="512">
        <f>(R237*2)/'Field recov'!AA237</f>
        <v>21.06304347826087</v>
      </c>
      <c r="T237" s="520">
        <v>1.092</v>
      </c>
      <c r="U237" s="520">
        <v>0.6998</v>
      </c>
      <c r="V237" s="512">
        <f>(T237/'Field recov'!AC237)+(U237/'Field recov'!AD237)</f>
        <v>1.7918</v>
      </c>
      <c r="W237" s="520">
        <v>28.44</v>
      </c>
      <c r="X237" s="520">
        <v>22.03</v>
      </c>
      <c r="Y237" s="540">
        <f>(W237/'Field recov'!AG237)+(X237/'Field recov'!AH237)</f>
        <v>50.47</v>
      </c>
      <c r="Z237" s="520">
        <v>4836</v>
      </c>
      <c r="AA237" s="520">
        <v>9071</v>
      </c>
      <c r="AB237" s="512">
        <f>(Z237/'Field recov'!AK237)+(AA237/'Field recov'!AL237)</f>
        <v>13907</v>
      </c>
      <c r="AC237" s="540">
        <f t="shared" si="23"/>
        <v>13959.2618</v>
      </c>
      <c r="AD237" s="517">
        <f t="shared" si="31"/>
        <v>55520.1618</v>
      </c>
      <c r="AE237" s="518">
        <f>IF(OR(M237&lt;&gt;"",N237&lt;&gt;"",O237&lt;&gt;""),SUM(M237/'Field recov'!Q237,N237/'Field recov'!R237,O237/'Field recov'!T237),"")</f>
        <v>1322.9107526881721</v>
      </c>
      <c r="AF237" s="518">
        <f t="shared" si="21"/>
        <v>21.06304347826087</v>
      </c>
      <c r="AG237" s="518">
        <f t="shared" si="25"/>
        <v>13959.2618</v>
      </c>
      <c r="AH237" s="518">
        <f>IF(N237&lt;&gt;"",N237/'Field recov'!R237)</f>
        <v>1.4053763440860214</v>
      </c>
      <c r="AI237" s="518"/>
      <c r="AJ237" s="625">
        <v>0.0335312</v>
      </c>
      <c r="AK237" s="508">
        <f t="shared" si="26"/>
        <v>1655776.1666746195</v>
      </c>
      <c r="AL237" s="508">
        <f t="shared" si="27"/>
        <v>39453.12880804064</v>
      </c>
      <c r="AM237" s="508">
        <f t="shared" si="28"/>
        <v>628.1625315604831</v>
      </c>
      <c r="AN237" s="508">
        <f t="shared" si="29"/>
        <v>416306.65768001147</v>
      </c>
      <c r="AO237" s="508">
        <f t="shared" si="30"/>
        <v>41.91249773601963</v>
      </c>
      <c r="AP237" s="508">
        <f t="shared" si="24"/>
        <v>1797.6243021424823</v>
      </c>
      <c r="AR237" s="563"/>
    </row>
    <row r="238" spans="1:44" ht="12.75">
      <c r="A238" s="511" t="s">
        <v>182</v>
      </c>
      <c r="B238" s="520">
        <v>367.4</v>
      </c>
      <c r="C238" s="520">
        <v>678.9</v>
      </c>
      <c r="D238" s="512">
        <f>(B238/'Field recov'!B238)+(C238/'Field recov'!C238)</f>
        <v>1046.3</v>
      </c>
      <c r="E238" s="520">
        <v>230.9</v>
      </c>
      <c r="F238" s="520">
        <v>256.5</v>
      </c>
      <c r="G238" s="512">
        <f>(E238/'Field recov'!F238)+(F238/'Field recov'!G238)</f>
        <v>487.4</v>
      </c>
      <c r="H238" s="520">
        <v>3635</v>
      </c>
      <c r="I238" s="520">
        <v>11950</v>
      </c>
      <c r="J238" s="512">
        <f>(H238/'Field recov'!J238)+(I238/'Field recov'!K238)</f>
        <v>15585</v>
      </c>
      <c r="K238" s="509">
        <f t="shared" si="22"/>
        <v>17118.7</v>
      </c>
      <c r="L238" s="518"/>
      <c r="M238" s="511"/>
      <c r="N238" s="511">
        <v>0.1158</v>
      </c>
      <c r="O238" s="511">
        <v>702.3</v>
      </c>
      <c r="P238" s="511">
        <v>0.7306</v>
      </c>
      <c r="Q238" s="513">
        <f>(P238*29)/('Field recov'!V238*2)</f>
        <v>10.5937</v>
      </c>
      <c r="R238" s="511">
        <v>13.04</v>
      </c>
      <c r="S238" s="512">
        <f>(R238*2)/'Field recov'!AA238</f>
        <v>28.34782608695652</v>
      </c>
      <c r="T238" s="520">
        <v>1.109</v>
      </c>
      <c r="U238" s="520">
        <v>1.235</v>
      </c>
      <c r="V238" s="512">
        <f>(T238/'Field recov'!AC238)+(U238/'Field recov'!AD238)</f>
        <v>2.3440000000000003</v>
      </c>
      <c r="W238" s="520">
        <v>7.673</v>
      </c>
      <c r="X238" s="520">
        <v>9.177</v>
      </c>
      <c r="Y238" s="540">
        <f>(W238/'Field recov'!AG238)+(X238/'Field recov'!AH238)</f>
        <v>16.85</v>
      </c>
      <c r="Z238" s="520">
        <v>31.99</v>
      </c>
      <c r="AA238" s="520">
        <v>21.72</v>
      </c>
      <c r="AB238" s="512">
        <f>(Z238/'Field recov'!AK238)+(AA238/'Field recov'!AL238)</f>
        <v>53.709999999999994</v>
      </c>
      <c r="AC238" s="540">
        <f t="shared" si="23"/>
        <v>72.904</v>
      </c>
      <c r="AD238" s="517">
        <f t="shared" si="31"/>
        <v>17191.604</v>
      </c>
      <c r="AE238" s="518">
        <f>IF(OR(M238&lt;&gt;"",N238&lt;&gt;"",O238&lt;&gt;""),SUM(M238/'Field recov'!Q238,N238/'Field recov'!R238,O238/'Field recov'!T238),"")</f>
        <v>755.2858064516129</v>
      </c>
      <c r="AF238" s="518">
        <f t="shared" si="21"/>
        <v>28.34782608695652</v>
      </c>
      <c r="AG238" s="518">
        <f t="shared" si="25"/>
        <v>72.904</v>
      </c>
      <c r="AH238" s="518">
        <f>IF(N238&lt;&gt;"",N238/'Field recov'!R238)</f>
        <v>0.12451612903225806</v>
      </c>
      <c r="AI238" s="518"/>
      <c r="AJ238" s="625">
        <v>0.025650000000000003</v>
      </c>
      <c r="AK238" s="508">
        <f t="shared" si="26"/>
        <v>670237.9727095516</v>
      </c>
      <c r="AL238" s="508">
        <f t="shared" si="27"/>
        <v>29445.840407470285</v>
      </c>
      <c r="AM238" s="508">
        <f t="shared" si="28"/>
        <v>1105.1784049495718</v>
      </c>
      <c r="AN238" s="508">
        <f t="shared" si="29"/>
        <v>2842.2612085769974</v>
      </c>
      <c r="AO238" s="508">
        <f t="shared" si="30"/>
        <v>4.854429981764446</v>
      </c>
      <c r="AP238" s="508">
        <f t="shared" si="24"/>
        <v>413.00974658869393</v>
      </c>
      <c r="AR238" s="563"/>
    </row>
    <row r="239" spans="1:44" ht="12.75">
      <c r="A239" s="511" t="s">
        <v>183</v>
      </c>
      <c r="B239" s="520">
        <v>150.6</v>
      </c>
      <c r="C239" s="520">
        <v>491.2</v>
      </c>
      <c r="D239" s="512">
        <f>(B239/'Field recov'!B239)+(C239/'Field recov'!C239)</f>
        <v>641.8</v>
      </c>
      <c r="E239" s="520">
        <v>33.5</v>
      </c>
      <c r="F239" s="520">
        <v>113.1</v>
      </c>
      <c r="G239" s="512">
        <f>(E239/'Field recov'!F239)+(F239/'Field recov'!G239)</f>
        <v>146.6</v>
      </c>
      <c r="H239" s="520">
        <v>1799</v>
      </c>
      <c r="I239" s="520">
        <v>12181</v>
      </c>
      <c r="J239" s="512">
        <f>(H239/'Field recov'!J239)+(I239/'Field recov'!K239)</f>
        <v>13980</v>
      </c>
      <c r="K239" s="509">
        <f t="shared" si="22"/>
        <v>14768.4</v>
      </c>
      <c r="L239" s="518"/>
      <c r="M239" s="511"/>
      <c r="N239" s="511">
        <v>0.4678</v>
      </c>
      <c r="O239" s="511">
        <v>145.5</v>
      </c>
      <c r="P239" s="511">
        <v>0.6605</v>
      </c>
      <c r="Q239" s="513">
        <f>(P239*29)/('Field recov'!V239*1.95)</f>
        <v>9.822820512820513</v>
      </c>
      <c r="R239" s="511">
        <v>10.74</v>
      </c>
      <c r="S239" s="512">
        <f>(R239*2)/'Field recov'!AA239</f>
        <v>23.34782608695652</v>
      </c>
      <c r="T239" s="520">
        <v>0.9978999999999999</v>
      </c>
      <c r="U239" s="520">
        <v>484</v>
      </c>
      <c r="V239" s="512">
        <f>(T239/'Field recov'!AC239)+(U239/'Field recov'!AD239)</f>
        <v>484.9979</v>
      </c>
      <c r="W239" s="520">
        <v>8.058</v>
      </c>
      <c r="X239" s="520">
        <v>3.353</v>
      </c>
      <c r="Y239" s="540">
        <f>(W239/'Field recov'!AG239)+(X239/'Field recov'!AH239)</f>
        <v>11.411</v>
      </c>
      <c r="Z239" s="520">
        <v>6.6129999999999995</v>
      </c>
      <c r="AA239" s="520">
        <v>5.678</v>
      </c>
      <c r="AB239" s="512">
        <f>(Z239/'Field recov'!AK239)+(AA239/'Field recov'!AL239)</f>
        <v>12.291</v>
      </c>
      <c r="AC239" s="540">
        <f t="shared" si="23"/>
        <v>508.6999</v>
      </c>
      <c r="AD239" s="517">
        <f t="shared" si="31"/>
        <v>15277.0999</v>
      </c>
      <c r="AE239" s="518">
        <f>IF(OR(M239&lt;&gt;"",N239&lt;&gt;"",O239&lt;&gt;""),SUM(M239/'Field recov'!Q239,N239/'Field recov'!R239,O239/'Field recov'!T239),"")</f>
        <v>163.9861568201039</v>
      </c>
      <c r="AF239" s="518">
        <f t="shared" si="21"/>
        <v>23.34782608695652</v>
      </c>
      <c r="AG239" s="518">
        <f t="shared" si="25"/>
        <v>508.6999</v>
      </c>
      <c r="AH239" s="518">
        <f>IF(N239&lt;&gt;"",N239/'Field recov'!R239)</f>
        <v>0.503010752688172</v>
      </c>
      <c r="AI239" s="518"/>
      <c r="AJ239" s="625">
        <v>0.0655758</v>
      </c>
      <c r="AK239" s="508">
        <f t="shared" si="26"/>
        <v>232968.5630979721</v>
      </c>
      <c r="AL239" s="508">
        <f t="shared" si="27"/>
        <v>2500.71149448583</v>
      </c>
      <c r="AM239" s="508">
        <f t="shared" si="28"/>
        <v>356.0433282850765</v>
      </c>
      <c r="AN239" s="508">
        <f t="shared" si="29"/>
        <v>7757.433382436813</v>
      </c>
      <c r="AO239" s="508">
        <f t="shared" si="30"/>
        <v>7.670676571054748</v>
      </c>
      <c r="AP239" s="508">
        <f t="shared" si="24"/>
        <v>149.79337671550348</v>
      </c>
      <c r="AR239" s="563"/>
    </row>
    <row r="240" spans="1:44" ht="12.75">
      <c r="A240" s="511" t="s">
        <v>184</v>
      </c>
      <c r="B240" s="520">
        <v>687.5</v>
      </c>
      <c r="C240" s="520">
        <v>1177</v>
      </c>
      <c r="D240" s="512">
        <f>(B240/'Field recov'!B240)+(C240/'Field recov'!C240)</f>
        <v>1864.5</v>
      </c>
      <c r="E240" s="520">
        <v>114.5</v>
      </c>
      <c r="F240" s="520">
        <v>414.9</v>
      </c>
      <c r="G240" s="512">
        <f>(E240/'Field recov'!F240)+(F240/'Field recov'!G240)</f>
        <v>529.4</v>
      </c>
      <c r="H240" s="520">
        <v>10184</v>
      </c>
      <c r="I240" s="520">
        <v>24880</v>
      </c>
      <c r="J240" s="512">
        <f>(H240/'Field recov'!J240)+(I240/'Field recov'!K240)</f>
        <v>35064</v>
      </c>
      <c r="K240" s="509">
        <f t="shared" si="22"/>
        <v>37457.9</v>
      </c>
      <c r="L240" s="518"/>
      <c r="M240" s="511"/>
      <c r="N240" s="511">
        <v>1.505</v>
      </c>
      <c r="O240" s="511">
        <v>613.5</v>
      </c>
      <c r="P240" s="511">
        <v>0.7302</v>
      </c>
      <c r="Q240" s="513">
        <f>(P240*29)/('Field recov'!V240*2)</f>
        <v>10.5879</v>
      </c>
      <c r="R240" s="511">
        <v>3.352</v>
      </c>
      <c r="S240" s="512">
        <f>(R240*2)/'Field recov'!AA240</f>
        <v>7.28695652173913</v>
      </c>
      <c r="T240" s="520">
        <v>1.018</v>
      </c>
      <c r="U240" s="520">
        <v>4.288</v>
      </c>
      <c r="V240" s="512">
        <f>(T240/'Field recov'!AC240)+(U240/'Field recov'!AD240)</f>
        <v>5.306</v>
      </c>
      <c r="W240" s="520">
        <v>19.24</v>
      </c>
      <c r="X240" s="520">
        <v>14.37</v>
      </c>
      <c r="Y240" s="540">
        <f>(W240/'Field recov'!AG240)+(X240/'Field recov'!AH240)</f>
        <v>33.61</v>
      </c>
      <c r="Z240" s="520">
        <v>2683</v>
      </c>
      <c r="AA240" s="520">
        <v>6166</v>
      </c>
      <c r="AB240" s="512">
        <f>(Z240/'Field recov'!AK240)+(AA240/'Field recov'!AL240)</f>
        <v>8849</v>
      </c>
      <c r="AC240" s="540">
        <f t="shared" si="23"/>
        <v>8887.916</v>
      </c>
      <c r="AD240" s="517">
        <f t="shared" si="31"/>
        <v>46345.816</v>
      </c>
      <c r="AE240" s="518">
        <f>IF(OR(M240&lt;&gt;"",N240&lt;&gt;"",O240&lt;&gt;""),SUM(M240/'Field recov'!Q240,N240/'Field recov'!R240,O240/'Field recov'!T240),"")</f>
        <v>690.9441222665217</v>
      </c>
      <c r="AF240" s="518">
        <f t="shared" si="21"/>
        <v>7.28695652173913</v>
      </c>
      <c r="AG240" s="518">
        <f t="shared" si="25"/>
        <v>8887.916</v>
      </c>
      <c r="AH240" s="518">
        <f>IF(N240&lt;&gt;"",N240/'Field recov'!R240)</f>
        <v>1.618279569892473</v>
      </c>
      <c r="AI240" s="518"/>
      <c r="AJ240" s="625">
        <v>0.03225</v>
      </c>
      <c r="AK240" s="508">
        <f t="shared" si="26"/>
        <v>1437079.5658914729</v>
      </c>
      <c r="AL240" s="508">
        <f t="shared" si="27"/>
        <v>21424.623946248736</v>
      </c>
      <c r="AM240" s="508">
        <f t="shared" si="28"/>
        <v>225.95214020896526</v>
      </c>
      <c r="AN240" s="508">
        <f t="shared" si="29"/>
        <v>275594.29457364336</v>
      </c>
      <c r="AO240" s="508">
        <f t="shared" si="30"/>
        <v>50.179211469534046</v>
      </c>
      <c r="AP240" s="508">
        <f t="shared" si="24"/>
        <v>328.30697674418604</v>
      </c>
      <c r="AR240" s="563"/>
    </row>
    <row r="241" spans="1:44" ht="12.75">
      <c r="A241" s="511" t="s">
        <v>185</v>
      </c>
      <c r="B241" s="520">
        <v>397.7</v>
      </c>
      <c r="C241" s="520">
        <v>771.6</v>
      </c>
      <c r="D241" s="512">
        <f>(B241/'Field recov'!B241)+(C241/'Field recov'!C241)</f>
        <v>1169.3</v>
      </c>
      <c r="E241" s="520">
        <v>149.8</v>
      </c>
      <c r="F241" s="520">
        <v>451.8</v>
      </c>
      <c r="G241" s="512">
        <f>(E241/'Field recov'!F241)+(F241/'Field recov'!G241)</f>
        <v>601.6</v>
      </c>
      <c r="H241" s="520">
        <v>6400</v>
      </c>
      <c r="I241" s="520">
        <v>32661</v>
      </c>
      <c r="J241" s="512">
        <f>(H241/'Field recov'!J241)+(I241/'Field recov'!K241)</f>
        <v>39061</v>
      </c>
      <c r="K241" s="509">
        <f t="shared" si="22"/>
        <v>40831.9</v>
      </c>
      <c r="L241" s="518"/>
      <c r="M241" s="511"/>
      <c r="N241" s="511">
        <v>0.6298</v>
      </c>
      <c r="O241" s="511">
        <v>835</v>
      </c>
      <c r="P241" s="511">
        <v>2.488</v>
      </c>
      <c r="Q241" s="513">
        <f>(P241*29)/('Field recov'!V241*1.95)</f>
        <v>37.00102564102564</v>
      </c>
      <c r="R241" s="511">
        <v>3.115</v>
      </c>
      <c r="S241" s="512">
        <f>(R241*2)/'Field recov'!AA241</f>
        <v>6.698924731182796</v>
      </c>
      <c r="T241" s="520">
        <v>1.2930000000000001</v>
      </c>
      <c r="U241" s="520">
        <v>0.6452</v>
      </c>
      <c r="V241" s="512">
        <f>(T241/'Field recov'!AC241)+(U241/'Field recov'!AD241)</f>
        <v>1.9382000000000001</v>
      </c>
      <c r="W241" s="520">
        <v>27.96</v>
      </c>
      <c r="X241" s="520">
        <v>4.498</v>
      </c>
      <c r="Y241" s="540">
        <f>(W241/'Field recov'!AG241)+(X241/'Field recov'!AH241)</f>
        <v>32.458</v>
      </c>
      <c r="Z241" s="520">
        <v>399.8</v>
      </c>
      <c r="AA241" s="520">
        <v>490.5</v>
      </c>
      <c r="AB241" s="512">
        <f>(Z241/'Field recov'!AK241)+(AA241/'Field recov'!AL241)</f>
        <v>890.3</v>
      </c>
      <c r="AC241" s="540">
        <f t="shared" si="23"/>
        <v>924.6962</v>
      </c>
      <c r="AD241" s="517">
        <f t="shared" si="31"/>
        <v>41756.5962</v>
      </c>
      <c r="AE241" s="518">
        <f>IF(OR(M241&lt;&gt;"",N241&lt;&gt;"",O241&lt;&gt;""),SUM(M241/'Field recov'!Q241,N241/'Field recov'!R241,O241/'Field recov'!T241),"")</f>
        <v>898.5266666666665</v>
      </c>
      <c r="AF241" s="518">
        <f t="shared" si="21"/>
        <v>6.698924731182796</v>
      </c>
      <c r="AG241" s="518">
        <f t="shared" si="25"/>
        <v>924.6962</v>
      </c>
      <c r="AH241" s="518">
        <f>IF(N241&lt;&gt;"",N241/'Field recov'!R241)</f>
        <v>0.6772043010752689</v>
      </c>
      <c r="AI241" s="518"/>
      <c r="AJ241" s="625">
        <v>0.0244296</v>
      </c>
      <c r="AK241" s="508">
        <f t="shared" si="26"/>
        <v>1709262.3784261716</v>
      </c>
      <c r="AL241" s="508">
        <f t="shared" si="27"/>
        <v>36780.244730436294</v>
      </c>
      <c r="AM241" s="508">
        <f t="shared" si="28"/>
        <v>274.213443166601</v>
      </c>
      <c r="AN241" s="508">
        <f t="shared" si="29"/>
        <v>37851.467072731444</v>
      </c>
      <c r="AO241" s="508">
        <f t="shared" si="30"/>
        <v>27.720646309201495</v>
      </c>
      <c r="AP241" s="508">
        <f t="shared" si="24"/>
        <v>1514.598095794677</v>
      </c>
      <c r="AR241" s="563"/>
    </row>
    <row r="242" spans="1:44" ht="12.75">
      <c r="A242" s="511" t="s">
        <v>186</v>
      </c>
      <c r="B242" s="520">
        <v>1444</v>
      </c>
      <c r="C242" s="520">
        <v>1097</v>
      </c>
      <c r="D242" s="512">
        <f>(B242/'Field recov'!B242)+(C242/'Field recov'!C242)</f>
        <v>2541</v>
      </c>
      <c r="E242" s="520">
        <v>214.9</v>
      </c>
      <c r="F242" s="520">
        <v>564.5</v>
      </c>
      <c r="G242" s="512">
        <f>(E242/'Field recov'!F242)+(F242/'Field recov'!G242)</f>
        <v>779.4</v>
      </c>
      <c r="H242" s="520">
        <v>2114</v>
      </c>
      <c r="I242" s="520">
        <v>19634</v>
      </c>
      <c r="J242" s="512">
        <f>(H242/'Field recov'!J242)+(I242/'Field recov'!K242)</f>
        <v>21748</v>
      </c>
      <c r="K242" s="509">
        <f t="shared" si="22"/>
        <v>25068.4</v>
      </c>
      <c r="L242" s="518"/>
      <c r="M242" s="511"/>
      <c r="N242" s="511">
        <v>0.4998</v>
      </c>
      <c r="O242" s="511">
        <v>553</v>
      </c>
      <c r="P242" s="511">
        <v>7.665</v>
      </c>
      <c r="Q242" s="513">
        <f>(P242*29)/('Field recov'!V242*2)</f>
        <v>111.1425</v>
      </c>
      <c r="R242" s="511">
        <v>10.35</v>
      </c>
      <c r="S242" s="512">
        <f>(R242*2)/'Field recov'!AA242</f>
        <v>22.5</v>
      </c>
      <c r="T242" s="520">
        <v>2.126</v>
      </c>
      <c r="U242" s="520">
        <v>2.5730000000000004</v>
      </c>
      <c r="V242" s="512">
        <f>(T242/'Field recov'!AC242)+(U242/'Field recov'!AD242)</f>
        <v>4.699</v>
      </c>
      <c r="W242" s="520">
        <v>13.17</v>
      </c>
      <c r="X242" s="520">
        <v>12.99</v>
      </c>
      <c r="Y242" s="540">
        <f>(W242/'Field recov'!AG242)+(X242/'Field recov'!AH242)</f>
        <v>26.16</v>
      </c>
      <c r="Z242" s="520">
        <v>140.3</v>
      </c>
      <c r="AA242" s="520">
        <v>97.55</v>
      </c>
      <c r="AB242" s="512">
        <f>(Z242/'Field recov'!AK242)+(AA242/'Field recov'!AL242)</f>
        <v>237.85000000000002</v>
      </c>
      <c r="AC242" s="540">
        <f t="shared" si="23"/>
        <v>268.709</v>
      </c>
      <c r="AD242" s="517">
        <f t="shared" si="31"/>
        <v>25337.109</v>
      </c>
      <c r="AE242" s="518">
        <f>IF(OR(M242&lt;&gt;"",N242&lt;&gt;"",O242&lt;&gt;""),SUM(M242/'Field recov'!Q242,N242/'Field recov'!R242,O242/'Field recov'!T242),"")</f>
        <v>621.8857339615803</v>
      </c>
      <c r="AF242" s="518">
        <f t="shared" si="21"/>
        <v>22.5</v>
      </c>
      <c r="AG242" s="518">
        <f t="shared" si="25"/>
        <v>268.709</v>
      </c>
      <c r="AH242" s="518">
        <f>IF(N242&lt;&gt;"",N242/'Field recov'!R242)</f>
        <v>0.5374193548387096</v>
      </c>
      <c r="AI242" s="518"/>
      <c r="AJ242" s="625">
        <v>0.055575</v>
      </c>
      <c r="AK242" s="508">
        <f t="shared" si="26"/>
        <v>455908.39406207827</v>
      </c>
      <c r="AL242" s="508">
        <f t="shared" si="27"/>
        <v>11190.026701962759</v>
      </c>
      <c r="AM242" s="508">
        <f t="shared" si="28"/>
        <v>404.8582995951417</v>
      </c>
      <c r="AN242" s="508">
        <f t="shared" si="29"/>
        <v>4835.069725596041</v>
      </c>
      <c r="AO242" s="508">
        <f t="shared" si="30"/>
        <v>9.670163829756358</v>
      </c>
      <c r="AP242" s="508">
        <f t="shared" si="24"/>
        <v>1999.8650472334682</v>
      </c>
      <c r="AR242" s="563"/>
    </row>
    <row r="243" spans="1:44" ht="12.75">
      <c r="A243" s="511" t="s">
        <v>187</v>
      </c>
      <c r="B243" s="520">
        <v>155.4</v>
      </c>
      <c r="C243" s="520">
        <v>197.9</v>
      </c>
      <c r="D243" s="512">
        <f>(B243/'Field recov'!B243)+(C243/'Field recov'!C243)</f>
        <v>353.3</v>
      </c>
      <c r="E243" s="520">
        <v>35.08</v>
      </c>
      <c r="F243" s="520">
        <v>111.8</v>
      </c>
      <c r="G243" s="512">
        <f>(E243/'Field recov'!F243)+(F243/'Field recov'!G243)</f>
        <v>146.88</v>
      </c>
      <c r="H243" s="520">
        <v>1013</v>
      </c>
      <c r="I243" s="520">
        <v>9496</v>
      </c>
      <c r="J243" s="512">
        <f>(H243/'Field recov'!J243)+(I243/'Field recov'!K243)</f>
        <v>10509</v>
      </c>
      <c r="K243" s="509">
        <f t="shared" si="22"/>
        <v>11009.18</v>
      </c>
      <c r="L243" s="518"/>
      <c r="M243" s="511"/>
      <c r="N243" s="511">
        <v>0.2718</v>
      </c>
      <c r="O243" s="511">
        <v>159.4</v>
      </c>
      <c r="P243" s="511">
        <v>0.7931</v>
      </c>
      <c r="Q243" s="513">
        <f>(P243*29)/('Field recov'!V243*2)</f>
        <v>11.49995</v>
      </c>
      <c r="R243" s="511">
        <v>1.209</v>
      </c>
      <c r="S243" s="512">
        <f>(R243*2)/'Field recov'!AA243</f>
        <v>2.6</v>
      </c>
      <c r="T243" s="520">
        <v>0.28850000000000003</v>
      </c>
      <c r="U243" s="520">
        <v>0.8424</v>
      </c>
      <c r="V243" s="512">
        <f>(T243/'Field recov'!AC243)+(U243/'Field recov'!AD243)</f>
        <v>1.152615053763441</v>
      </c>
      <c r="W243" s="520">
        <v>1.8619999999999999</v>
      </c>
      <c r="X243" s="520">
        <v>1.307</v>
      </c>
      <c r="Y243" s="540">
        <f>(W243/'Field recov'!AG243)+(X243/'Field recov'!AH243)</f>
        <v>3.1689999999999996</v>
      </c>
      <c r="Z243" s="520">
        <v>4.268</v>
      </c>
      <c r="AA243" s="520">
        <v>8.567</v>
      </c>
      <c r="AB243" s="512">
        <f>(Z243/'Field recov'!AK243)+(AA243/'Field recov'!AL243)</f>
        <v>12.835</v>
      </c>
      <c r="AC243" s="540">
        <f t="shared" si="23"/>
        <v>17.156615053763442</v>
      </c>
      <c r="AD243" s="517">
        <f t="shared" si="31"/>
        <v>11026.336615053764</v>
      </c>
      <c r="AE243" s="518">
        <f>IF(OR(M243&lt;&gt;"",N243&lt;&gt;"",O243&lt;&gt;""),SUM(M243/'Field recov'!Q243,N243/'Field recov'!R243,O243/'Field recov'!T243),"")</f>
        <v>179.39338166002173</v>
      </c>
      <c r="AF243" s="518">
        <f t="shared" si="21"/>
        <v>2.6</v>
      </c>
      <c r="AG243" s="518">
        <f t="shared" si="25"/>
        <v>17.156615053763442</v>
      </c>
      <c r="AH243" s="518">
        <f>IF(N243&lt;&gt;"",N243/'Field recov'!R243)</f>
        <v>0.292258064516129</v>
      </c>
      <c r="AI243" s="518"/>
      <c r="AJ243" s="625">
        <v>0.0350625</v>
      </c>
      <c r="AK243" s="508">
        <f t="shared" si="26"/>
        <v>314476.62360224634</v>
      </c>
      <c r="AL243" s="508">
        <f t="shared" si="27"/>
        <v>5116.3887817475</v>
      </c>
      <c r="AM243" s="508">
        <f t="shared" si="28"/>
        <v>74.15329768270944</v>
      </c>
      <c r="AN243" s="508">
        <f t="shared" si="29"/>
        <v>489.31522434975943</v>
      </c>
      <c r="AO243" s="508">
        <f t="shared" si="30"/>
        <v>8.335345868552698</v>
      </c>
      <c r="AP243" s="508">
        <f t="shared" si="24"/>
        <v>327.98431372549015</v>
      </c>
      <c r="AR243" s="563"/>
    </row>
    <row r="244" spans="1:44" ht="12.75">
      <c r="A244" s="511" t="s">
        <v>188</v>
      </c>
      <c r="B244" s="520">
        <v>1890</v>
      </c>
      <c r="C244" s="520">
        <v>1534</v>
      </c>
      <c r="D244" s="512">
        <f>(B244/'Field recov'!B244)+(C244/'Field recov'!C244)</f>
        <v>3424</v>
      </c>
      <c r="E244" s="520">
        <v>388.7</v>
      </c>
      <c r="F244" s="520">
        <v>194.7</v>
      </c>
      <c r="G244" s="512">
        <f>(E244/'Field recov'!F244)+(F244/'Field recov'!G244)</f>
        <v>583.4</v>
      </c>
      <c r="H244" s="520">
        <v>1911</v>
      </c>
      <c r="I244" s="520">
        <v>18591</v>
      </c>
      <c r="J244" s="512">
        <f>(H244/'Field recov'!J244)+(I244/'Field recov'!K244)</f>
        <v>20502</v>
      </c>
      <c r="K244" s="509">
        <f t="shared" si="22"/>
        <v>24509.4</v>
      </c>
      <c r="L244" s="518"/>
      <c r="M244" s="511"/>
      <c r="N244" s="511">
        <v>6.446000000000001</v>
      </c>
      <c r="O244" s="511">
        <v>1417</v>
      </c>
      <c r="P244" s="511">
        <v>4.5</v>
      </c>
      <c r="Q244" s="513">
        <f>(P244*29)/('Field recov'!V244*2)</f>
        <v>65.25</v>
      </c>
      <c r="R244" s="511">
        <v>17.71</v>
      </c>
      <c r="S244" s="512">
        <f>(R244*2)/'Field recov'!AA244</f>
        <v>38.5</v>
      </c>
      <c r="T244" s="520">
        <v>1.388</v>
      </c>
      <c r="U244" s="520">
        <v>1.505</v>
      </c>
      <c r="V244" s="512">
        <f>(T244/'Field recov'!AC244)+(U244/'Field recov'!AD244)</f>
        <v>2.893</v>
      </c>
      <c r="W244" s="520">
        <v>34.99</v>
      </c>
      <c r="X244" s="520">
        <v>8.315</v>
      </c>
      <c r="Y244" s="540">
        <f>(W244/'Field recov'!AG244)+(X244/'Field recov'!AH244)</f>
        <v>43.305</v>
      </c>
      <c r="Z244" s="520">
        <v>3.735</v>
      </c>
      <c r="AA244" s="520">
        <v>118</v>
      </c>
      <c r="AB244" s="512">
        <f>(Z244/'Field recov'!AK244)+(AA244/'Field recov'!AL244)</f>
        <v>121.735</v>
      </c>
      <c r="AC244" s="540">
        <f t="shared" si="23"/>
        <v>167.933</v>
      </c>
      <c r="AD244" s="517">
        <f t="shared" si="31"/>
        <v>24677.333000000002</v>
      </c>
      <c r="AE244" s="518">
        <f>IF(OR(M244&lt;&gt;"",N244&lt;&gt;"",O244&lt;&gt;""),SUM(M244/'Field recov'!Q244,N244/'Field recov'!R244,O244/'Field recov'!T244),"")</f>
        <v>1530.5870967741935</v>
      </c>
      <c r="AF244" s="518">
        <f t="shared" si="21"/>
        <v>38.5</v>
      </c>
      <c r="AG244" s="518">
        <f t="shared" si="25"/>
        <v>167.933</v>
      </c>
      <c r="AH244" s="518">
        <f>IF(N244&lt;&gt;"",N244/'Field recov'!R244)</f>
        <v>6.931182795698925</v>
      </c>
      <c r="AI244" s="518"/>
      <c r="AJ244" s="625">
        <v>0.030824999999999998</v>
      </c>
      <c r="AK244" s="508">
        <f t="shared" si="26"/>
        <v>800562.3033252232</v>
      </c>
      <c r="AL244" s="508">
        <f t="shared" si="27"/>
        <v>49654.08262041179</v>
      </c>
      <c r="AM244" s="508">
        <f t="shared" si="28"/>
        <v>1248.9862124898623</v>
      </c>
      <c r="AN244" s="508">
        <f t="shared" si="29"/>
        <v>5447.948094079481</v>
      </c>
      <c r="AO244" s="508">
        <f t="shared" si="30"/>
        <v>224.85588956038688</v>
      </c>
      <c r="AP244" s="508">
        <f t="shared" si="24"/>
        <v>2116.788321167883</v>
      </c>
      <c r="AR244" s="563"/>
    </row>
    <row r="245" spans="1:44" ht="12.75">
      <c r="A245" s="511" t="s">
        <v>189</v>
      </c>
      <c r="B245" s="525"/>
      <c r="C245" s="525"/>
      <c r="D245" s="512"/>
      <c r="E245" s="525"/>
      <c r="F245" s="525"/>
      <c r="G245" s="512"/>
      <c r="H245" s="525"/>
      <c r="I245" s="525"/>
      <c r="J245" s="512"/>
      <c r="K245" s="509"/>
      <c r="L245" s="518"/>
      <c r="M245" s="511"/>
      <c r="N245" s="521"/>
      <c r="O245" s="521"/>
      <c r="P245" s="521"/>
      <c r="Q245" s="513"/>
      <c r="R245" s="521"/>
      <c r="S245" s="512"/>
      <c r="T245" s="525"/>
      <c r="U245" s="525"/>
      <c r="V245" s="512"/>
      <c r="W245" s="525"/>
      <c r="X245" s="525"/>
      <c r="Y245" s="540"/>
      <c r="Z245" s="525"/>
      <c r="AA245" s="525"/>
      <c r="AB245" s="512"/>
      <c r="AC245" s="540"/>
      <c r="AD245" s="517"/>
      <c r="AE245" s="518"/>
      <c r="AF245" s="518"/>
      <c r="AG245" s="518"/>
      <c r="AH245" s="518"/>
      <c r="AI245" s="518"/>
      <c r="AJ245" s="619"/>
      <c r="AK245" s="508"/>
      <c r="AL245" s="563" t="s">
        <v>110</v>
      </c>
      <c r="AM245" s="508"/>
      <c r="AN245" s="508"/>
      <c r="AO245" s="508"/>
      <c r="AP245" s="508"/>
      <c r="AR245" s="563"/>
    </row>
    <row r="246" spans="1:44" ht="12.75">
      <c r="A246" s="511" t="s">
        <v>190</v>
      </c>
      <c r="B246" s="525"/>
      <c r="C246" s="525"/>
      <c r="D246" s="512"/>
      <c r="E246" s="525"/>
      <c r="F246" s="525"/>
      <c r="G246" s="512"/>
      <c r="H246" s="525"/>
      <c r="I246" s="525"/>
      <c r="J246" s="512"/>
      <c r="K246" s="509"/>
      <c r="L246" s="518"/>
      <c r="M246" s="511"/>
      <c r="N246" s="521"/>
      <c r="O246" s="521"/>
      <c r="P246" s="521"/>
      <c r="Q246" s="513"/>
      <c r="R246" s="521"/>
      <c r="S246" s="512"/>
      <c r="T246" s="525"/>
      <c r="U246" s="525"/>
      <c r="V246" s="512"/>
      <c r="W246" s="525"/>
      <c r="X246" s="525"/>
      <c r="Y246" s="540"/>
      <c r="Z246" s="525"/>
      <c r="AA246" s="525"/>
      <c r="AB246" s="512"/>
      <c r="AC246" s="540"/>
      <c r="AD246" s="517"/>
      <c r="AE246" s="518"/>
      <c r="AF246" s="518"/>
      <c r="AG246" s="518"/>
      <c r="AH246" s="518"/>
      <c r="AI246" s="518"/>
      <c r="AJ246" s="619"/>
      <c r="AK246" s="508"/>
      <c r="AL246" s="563" t="s">
        <v>110</v>
      </c>
      <c r="AM246" s="508"/>
      <c r="AN246" s="508"/>
      <c r="AO246" s="508"/>
      <c r="AP246" s="508"/>
      <c r="AR246" s="563"/>
    </row>
    <row r="247" spans="1:42" ht="12.75">
      <c r="A247" s="500" t="s">
        <v>191</v>
      </c>
      <c r="D247" s="512"/>
      <c r="G247" s="512"/>
      <c r="J247" s="512"/>
      <c r="K247" s="509"/>
      <c r="Q247" s="513"/>
      <c r="S247" s="512"/>
      <c r="V247" s="512"/>
      <c r="Y247" s="540"/>
      <c r="AB247" s="512"/>
      <c r="AC247" s="540"/>
      <c r="AD247" s="517"/>
      <c r="AF247" s="643"/>
      <c r="AG247" s="643"/>
      <c r="AH247" s="643"/>
      <c r="AI247" s="644"/>
      <c r="AJ247" s="627"/>
      <c r="AM247" s="508"/>
      <c r="AN247" s="508"/>
      <c r="AO247" s="508"/>
      <c r="AP247" s="508"/>
    </row>
    <row r="248" spans="1:42" ht="12.75">
      <c r="A248" s="500" t="s">
        <v>192</v>
      </c>
      <c r="D248" s="512"/>
      <c r="G248" s="512"/>
      <c r="J248" s="512"/>
      <c r="K248" s="509"/>
      <c r="Q248" s="513"/>
      <c r="S248" s="512"/>
      <c r="V248" s="512"/>
      <c r="Y248" s="540"/>
      <c r="AB248" s="512"/>
      <c r="AC248" s="540"/>
      <c r="AD248" s="517"/>
      <c r="AF248" s="643"/>
      <c r="AG248" s="643"/>
      <c r="AH248" s="643"/>
      <c r="AI248" s="644"/>
      <c r="AJ248" s="627"/>
      <c r="AM248" s="508"/>
      <c r="AN248" s="508"/>
      <c r="AO248" s="508"/>
      <c r="AP248" s="508"/>
    </row>
    <row r="249" spans="1:42" ht="12.75">
      <c r="A249" s="500" t="s">
        <v>193</v>
      </c>
      <c r="D249" s="512"/>
      <c r="G249" s="512"/>
      <c r="J249" s="512"/>
      <c r="K249" s="509"/>
      <c r="Q249" s="513"/>
      <c r="S249" s="512"/>
      <c r="V249" s="512"/>
      <c r="Y249" s="540"/>
      <c r="AB249" s="512"/>
      <c r="AC249" s="540"/>
      <c r="AD249" s="517"/>
      <c r="AF249" s="643"/>
      <c r="AG249" s="643"/>
      <c r="AH249" s="643"/>
      <c r="AI249" s="644"/>
      <c r="AJ249" s="627"/>
      <c r="AM249" s="508"/>
      <c r="AN249" s="508"/>
      <c r="AO249" s="508"/>
      <c r="AP249" s="508"/>
    </row>
    <row r="250" spans="1:42" ht="12.75">
      <c r="A250" s="500" t="s">
        <v>194</v>
      </c>
      <c r="D250" s="512"/>
      <c r="G250" s="512"/>
      <c r="J250" s="512"/>
      <c r="K250" s="509"/>
      <c r="Q250" s="513"/>
      <c r="S250" s="512"/>
      <c r="V250" s="512"/>
      <c r="Y250" s="540"/>
      <c r="AB250" s="512"/>
      <c r="AC250" s="540"/>
      <c r="AD250" s="517"/>
      <c r="AF250" s="643"/>
      <c r="AG250" s="643"/>
      <c r="AH250" s="643"/>
      <c r="AI250" s="644"/>
      <c r="AJ250" s="627"/>
      <c r="AM250" s="508"/>
      <c r="AN250" s="508"/>
      <c r="AO250" s="508"/>
      <c r="AP250" s="508"/>
    </row>
    <row r="251" spans="1:42" ht="12.75">
      <c r="A251" s="500" t="s">
        <v>195</v>
      </c>
      <c r="D251" s="512"/>
      <c r="G251" s="512"/>
      <c r="J251" s="512"/>
      <c r="K251" s="509"/>
      <c r="Q251" s="513"/>
      <c r="S251" s="512"/>
      <c r="V251" s="512"/>
      <c r="Y251" s="540"/>
      <c r="AB251" s="512"/>
      <c r="AC251" s="540"/>
      <c r="AD251" s="517"/>
      <c r="AF251" s="643"/>
      <c r="AG251" s="643"/>
      <c r="AH251" s="643"/>
      <c r="AI251" s="644"/>
      <c r="AJ251" s="627"/>
      <c r="AM251" s="508"/>
      <c r="AN251" s="508"/>
      <c r="AO251" s="508"/>
      <c r="AP251" s="508"/>
    </row>
    <row r="252" spans="1:42" ht="12.75">
      <c r="A252" s="500" t="s">
        <v>196</v>
      </c>
      <c r="D252" s="512"/>
      <c r="G252" s="512"/>
      <c r="J252" s="512"/>
      <c r="K252" s="509"/>
      <c r="Q252" s="513"/>
      <c r="S252" s="512"/>
      <c r="V252" s="512"/>
      <c r="Y252" s="540"/>
      <c r="AB252" s="512"/>
      <c r="AC252" s="540"/>
      <c r="AD252" s="517"/>
      <c r="AF252" s="643"/>
      <c r="AG252" s="643"/>
      <c r="AH252" s="643"/>
      <c r="AI252" s="644"/>
      <c r="AJ252" s="627"/>
      <c r="AM252" s="508"/>
      <c r="AN252" s="508"/>
      <c r="AO252" s="508"/>
      <c r="AP252" s="508"/>
    </row>
    <row r="253" spans="1:42" ht="12.75">
      <c r="A253" s="500" t="s">
        <v>197</v>
      </c>
      <c r="D253" s="512"/>
      <c r="G253" s="512"/>
      <c r="J253" s="512"/>
      <c r="K253" s="509"/>
      <c r="Q253" s="513"/>
      <c r="S253" s="512"/>
      <c r="V253" s="512"/>
      <c r="Y253" s="540"/>
      <c r="AB253" s="512"/>
      <c r="AC253" s="540"/>
      <c r="AD253" s="517"/>
      <c r="AF253" s="643"/>
      <c r="AG253" s="643"/>
      <c r="AH253" s="643"/>
      <c r="AI253" s="644"/>
      <c r="AJ253" s="627"/>
      <c r="AM253" s="508"/>
      <c r="AN253" s="508"/>
      <c r="AO253" s="508"/>
      <c r="AP253" s="508"/>
    </row>
    <row r="254" spans="1:42" ht="12.75">
      <c r="A254" s="500" t="s">
        <v>198</v>
      </c>
      <c r="D254" s="512"/>
      <c r="G254" s="512"/>
      <c r="J254" s="512"/>
      <c r="K254" s="509"/>
      <c r="Q254" s="513"/>
      <c r="S254" s="512"/>
      <c r="V254" s="512"/>
      <c r="Y254" s="540"/>
      <c r="AB254" s="512"/>
      <c r="AC254" s="540"/>
      <c r="AD254" s="517"/>
      <c r="AF254" s="643"/>
      <c r="AG254" s="643"/>
      <c r="AH254" s="643"/>
      <c r="AI254" s="644"/>
      <c r="AJ254" s="627"/>
      <c r="AM254" s="508"/>
      <c r="AN254" s="508"/>
      <c r="AO254" s="508"/>
      <c r="AP254" s="508"/>
    </row>
    <row r="255" spans="1:42" ht="12.75">
      <c r="A255" s="500" t="s">
        <v>199</v>
      </c>
      <c r="D255" s="512"/>
      <c r="G255" s="512"/>
      <c r="J255" s="512"/>
      <c r="K255" s="509"/>
      <c r="Q255" s="513"/>
      <c r="S255" s="512"/>
      <c r="V255" s="512"/>
      <c r="Y255" s="540"/>
      <c r="AB255" s="512"/>
      <c r="AC255" s="540"/>
      <c r="AD255" s="517"/>
      <c r="AF255" s="643"/>
      <c r="AG255" s="643"/>
      <c r="AH255" s="643"/>
      <c r="AI255" s="644"/>
      <c r="AJ255" s="627"/>
      <c r="AM255" s="508"/>
      <c r="AN255" s="508"/>
      <c r="AO255" s="508"/>
      <c r="AP255" s="508"/>
    </row>
    <row r="256" spans="1:42" ht="12.75">
      <c r="A256" s="500" t="s">
        <v>200</v>
      </c>
      <c r="D256" s="512"/>
      <c r="G256" s="512"/>
      <c r="J256" s="512"/>
      <c r="K256" s="509"/>
      <c r="Q256" s="513"/>
      <c r="S256" s="512"/>
      <c r="V256" s="512"/>
      <c r="Y256" s="540"/>
      <c r="AB256" s="512"/>
      <c r="AC256" s="540"/>
      <c r="AD256" s="517"/>
      <c r="AF256" s="643"/>
      <c r="AG256" s="643"/>
      <c r="AH256" s="643"/>
      <c r="AI256" s="644"/>
      <c r="AJ256" s="627"/>
      <c r="AM256" s="508"/>
      <c r="AN256" s="508"/>
      <c r="AO256" s="508"/>
      <c r="AP256" s="508"/>
    </row>
    <row r="257" spans="1:42" ht="12.75">
      <c r="A257" s="500" t="s">
        <v>201</v>
      </c>
      <c r="D257" s="512"/>
      <c r="G257" s="512"/>
      <c r="J257" s="512"/>
      <c r="K257" s="509"/>
      <c r="Q257" s="513"/>
      <c r="S257" s="512"/>
      <c r="V257" s="512"/>
      <c r="Y257" s="540"/>
      <c r="AB257" s="512"/>
      <c r="AC257" s="540"/>
      <c r="AD257" s="517"/>
      <c r="AF257" s="643"/>
      <c r="AG257" s="643"/>
      <c r="AH257" s="643"/>
      <c r="AI257" s="644"/>
      <c r="AJ257" s="627"/>
      <c r="AM257" s="508"/>
      <c r="AN257" s="508"/>
      <c r="AO257" s="508"/>
      <c r="AP257" s="508"/>
    </row>
    <row r="258" spans="1:42" ht="12.75">
      <c r="A258" s="500" t="s">
        <v>202</v>
      </c>
      <c r="D258" s="512"/>
      <c r="G258" s="512"/>
      <c r="J258" s="512"/>
      <c r="K258" s="509"/>
      <c r="Q258" s="513"/>
      <c r="S258" s="512"/>
      <c r="V258" s="512"/>
      <c r="Y258" s="540"/>
      <c r="AB258" s="512"/>
      <c r="AC258" s="540"/>
      <c r="AD258" s="517"/>
      <c r="AF258" s="643"/>
      <c r="AG258" s="643"/>
      <c r="AH258" s="643"/>
      <c r="AI258" s="644"/>
      <c r="AJ258" s="627"/>
      <c r="AM258" s="508"/>
      <c r="AN258" s="508"/>
      <c r="AO258" s="508"/>
      <c r="AP258" s="508"/>
    </row>
    <row r="259" spans="1:42" ht="12.75">
      <c r="A259" s="500" t="s">
        <v>203</v>
      </c>
      <c r="D259" s="512"/>
      <c r="G259" s="512"/>
      <c r="J259" s="512"/>
      <c r="K259" s="509"/>
      <c r="Q259" s="513"/>
      <c r="S259" s="512"/>
      <c r="V259" s="512"/>
      <c r="Y259" s="540"/>
      <c r="AB259" s="512"/>
      <c r="AC259" s="540"/>
      <c r="AD259" s="517"/>
      <c r="AF259" s="643"/>
      <c r="AG259" s="643"/>
      <c r="AH259" s="643"/>
      <c r="AI259" s="644"/>
      <c r="AJ259" s="627"/>
      <c r="AM259" s="508"/>
      <c r="AN259" s="508"/>
      <c r="AO259" s="508"/>
      <c r="AP259" s="508"/>
    </row>
    <row r="260" spans="1:42" ht="12.75">
      <c r="A260" s="500" t="s">
        <v>204</v>
      </c>
      <c r="D260" s="512"/>
      <c r="G260" s="512"/>
      <c r="J260" s="512"/>
      <c r="K260" s="509"/>
      <c r="Q260" s="513"/>
      <c r="S260" s="512"/>
      <c r="V260" s="512"/>
      <c r="Y260" s="540"/>
      <c r="AB260" s="512"/>
      <c r="AC260" s="540"/>
      <c r="AD260" s="517"/>
      <c r="AF260" s="643"/>
      <c r="AG260" s="643"/>
      <c r="AH260" s="643"/>
      <c r="AI260" s="644"/>
      <c r="AJ260" s="627"/>
      <c r="AM260" s="508"/>
      <c r="AN260" s="508"/>
      <c r="AO260" s="508"/>
      <c r="AP260" s="508"/>
    </row>
    <row r="261" spans="1:42" ht="12.75">
      <c r="A261" s="500" t="s">
        <v>205</v>
      </c>
      <c r="D261" s="512"/>
      <c r="G261" s="512"/>
      <c r="J261" s="512"/>
      <c r="K261" s="509"/>
      <c r="Q261" s="513"/>
      <c r="S261" s="512"/>
      <c r="V261" s="512"/>
      <c r="Y261" s="540"/>
      <c r="AB261" s="512"/>
      <c r="AC261" s="540"/>
      <c r="AD261" s="517"/>
      <c r="AF261" s="643"/>
      <c r="AG261" s="643"/>
      <c r="AH261" s="643"/>
      <c r="AI261" s="644"/>
      <c r="AJ261" s="627"/>
      <c r="AM261" s="508"/>
      <c r="AN261" s="508"/>
      <c r="AO261" s="508"/>
      <c r="AP261" s="508"/>
    </row>
    <row r="262" spans="1:42" ht="12.75">
      <c r="A262" s="500" t="s">
        <v>206</v>
      </c>
      <c r="D262" s="512"/>
      <c r="G262" s="512"/>
      <c r="J262" s="512"/>
      <c r="K262" s="509"/>
      <c r="Q262" s="513"/>
      <c r="S262" s="512"/>
      <c r="V262" s="512"/>
      <c r="Y262" s="540"/>
      <c r="AB262" s="512"/>
      <c r="AC262" s="540"/>
      <c r="AD262" s="517"/>
      <c r="AF262" s="643"/>
      <c r="AG262" s="643"/>
      <c r="AH262" s="643"/>
      <c r="AI262" s="644"/>
      <c r="AJ262" s="627"/>
      <c r="AM262" s="508"/>
      <c r="AN262" s="508"/>
      <c r="AO262" s="508"/>
      <c r="AP262" s="508"/>
    </row>
    <row r="263" spans="1:42" ht="12.75">
      <c r="A263" s="500" t="s">
        <v>207</v>
      </c>
      <c r="D263" s="512"/>
      <c r="G263" s="512"/>
      <c r="J263" s="512"/>
      <c r="K263" s="509"/>
      <c r="Q263" s="513"/>
      <c r="S263" s="512"/>
      <c r="V263" s="512"/>
      <c r="Y263" s="540"/>
      <c r="AB263" s="512"/>
      <c r="AC263" s="540"/>
      <c r="AD263" s="517"/>
      <c r="AF263" s="643"/>
      <c r="AG263" s="643"/>
      <c r="AH263" s="643"/>
      <c r="AI263" s="644"/>
      <c r="AJ263" s="627"/>
      <c r="AM263" s="508"/>
      <c r="AN263" s="508"/>
      <c r="AO263" s="508"/>
      <c r="AP263" s="508"/>
    </row>
    <row r="264" spans="1:42" ht="12.75">
      <c r="A264" s="500" t="s">
        <v>208</v>
      </c>
      <c r="D264" s="512"/>
      <c r="G264" s="512"/>
      <c r="J264" s="512"/>
      <c r="K264" s="509"/>
      <c r="Q264" s="513"/>
      <c r="S264" s="512"/>
      <c r="V264" s="512"/>
      <c r="Y264" s="540"/>
      <c r="AB264" s="512"/>
      <c r="AC264" s="540"/>
      <c r="AD264" s="517"/>
      <c r="AF264" s="643"/>
      <c r="AG264" s="643"/>
      <c r="AH264" s="643"/>
      <c r="AI264" s="644"/>
      <c r="AJ264" s="627"/>
      <c r="AM264" s="508"/>
      <c r="AN264" s="508"/>
      <c r="AO264" s="508"/>
      <c r="AP264" s="508"/>
    </row>
    <row r="265" spans="1:44" s="536" customFormat="1" ht="12.75">
      <c r="A265" s="539" t="s">
        <v>566</v>
      </c>
      <c r="B265" s="526">
        <v>125.3</v>
      </c>
      <c r="C265" s="526">
        <v>201.9</v>
      </c>
      <c r="D265" s="516">
        <f>(B265/'Field recov'!B265)+(C265/'Field recov'!C265)</f>
        <v>327.2</v>
      </c>
      <c r="E265" s="526">
        <v>51.43</v>
      </c>
      <c r="F265" s="526">
        <v>71.91</v>
      </c>
      <c r="G265" s="516">
        <f>(E265/'Field recov'!F265)+(F265/'Field recov'!G265)</f>
        <v>123.34</v>
      </c>
      <c r="H265" s="526"/>
      <c r="I265" s="526"/>
      <c r="J265" s="516"/>
      <c r="K265" s="527">
        <f aca="true" t="shared" si="32" ref="K265:K274">D265+G265+J265</f>
        <v>450.53999999999996</v>
      </c>
      <c r="L265" s="527"/>
      <c r="M265" s="519"/>
      <c r="N265" s="526">
        <v>0.1898</v>
      </c>
      <c r="O265" s="526">
        <v>390.1</v>
      </c>
      <c r="P265" s="526">
        <v>1.23</v>
      </c>
      <c r="Q265" s="596">
        <f>(P265*29)/('Field recov'!V265*2)</f>
        <v>17.835</v>
      </c>
      <c r="R265" s="526">
        <v>10.62</v>
      </c>
      <c r="S265" s="516">
        <f>(R265*2)/'Field recov'!AA265</f>
        <v>21.24</v>
      </c>
      <c r="T265" s="526">
        <v>0.7162</v>
      </c>
      <c r="U265" s="526">
        <v>0.9955</v>
      </c>
      <c r="V265" s="516">
        <f>(T265/'Field recov'!AC265)+(U265/'Field recov'!AD265)</f>
        <v>1.7117</v>
      </c>
      <c r="W265" s="526">
        <v>4.318</v>
      </c>
      <c r="X265" s="526">
        <v>3.168</v>
      </c>
      <c r="Y265" s="530">
        <f>(W265/'Field recov'!AG265)+(X265/'Field recov'!AH265)</f>
        <v>7.486</v>
      </c>
      <c r="Z265" s="526">
        <v>6.58</v>
      </c>
      <c r="AA265" s="526">
        <v>28.52</v>
      </c>
      <c r="AB265" s="516">
        <f>(Z265/'Field recov'!AK265)+(AA265/'Field recov'!AL265)</f>
        <v>35.1</v>
      </c>
      <c r="AC265" s="530">
        <f aca="true" t="shared" si="33" ref="AC265:AC274">V265+Y265+AB265</f>
        <v>44.2977</v>
      </c>
      <c r="AD265" s="516">
        <f t="shared" si="31"/>
        <v>494.8377</v>
      </c>
      <c r="AE265" s="527">
        <f>IF(OR(M265&lt;&gt;"",N265&lt;&gt;"",O265&lt;&gt;""),SUM(M265/'Field recov'!Q265,N265/'Field recov'!R265,O265/'Field recov'!T265),"")</f>
        <v>390.2898</v>
      </c>
      <c r="AF265" s="527">
        <f aca="true" t="shared" si="34" ref="AF265:AF274">S265</f>
        <v>21.24</v>
      </c>
      <c r="AG265" s="527">
        <f t="shared" si="25"/>
        <v>44.2977</v>
      </c>
      <c r="AH265" s="527">
        <f>IF(N265&lt;&gt;"",N265/'Field recov'!R265)</f>
        <v>0.1898</v>
      </c>
      <c r="AI265" s="527"/>
      <c r="AJ265" s="626">
        <v>0.06617250000000001</v>
      </c>
      <c r="AK265" s="561">
        <f aca="true" t="shared" si="35" ref="AK265:AK274">AD265/AJ265</f>
        <v>7477.996146435452</v>
      </c>
      <c r="AL265" s="561">
        <f aca="true" t="shared" si="36" ref="AL265:AL274">AE265/AJ265</f>
        <v>5898.066417318372</v>
      </c>
      <c r="AM265" s="561">
        <f aca="true" t="shared" si="37" ref="AM265:AM274">AF265/AJ265</f>
        <v>320.9792587555253</v>
      </c>
      <c r="AN265" s="561">
        <f aca="true" t="shared" si="38" ref="AN265:AN274">IF(AG265&lt;&gt;"",AG265/AJ265)</f>
        <v>669.4276323246061</v>
      </c>
      <c r="AO265" s="561">
        <f aca="true" t="shared" si="39" ref="AO265:AO274">AH265/AJ265</f>
        <v>2.868260984547961</v>
      </c>
      <c r="AP265" s="561">
        <f aca="true" t="shared" si="40" ref="AP265:AP274">Q265/AJ265</f>
        <v>269.5228380369489</v>
      </c>
      <c r="AR265" s="561"/>
    </row>
    <row r="266" spans="1:44" ht="12.75">
      <c r="A266" s="522" t="s">
        <v>567</v>
      </c>
      <c r="B266" s="525">
        <v>516.5</v>
      </c>
      <c r="C266" s="525">
        <v>759.2</v>
      </c>
      <c r="D266" s="512">
        <f>(B266/'Field recov'!B266)+(C266/'Field recov'!C266)</f>
        <v>1275.7</v>
      </c>
      <c r="E266" s="525">
        <v>207.2</v>
      </c>
      <c r="F266" s="525">
        <v>311.6</v>
      </c>
      <c r="G266" s="512">
        <f>(E266/'Field recov'!F266)+(F266/'Field recov'!G266)</f>
        <v>518.8</v>
      </c>
      <c r="H266" s="525"/>
      <c r="I266" s="525"/>
      <c r="J266" s="512"/>
      <c r="K266" s="509">
        <f t="shared" si="32"/>
        <v>1794.5</v>
      </c>
      <c r="L266" s="518"/>
      <c r="M266" s="520"/>
      <c r="N266" s="525">
        <v>12.27</v>
      </c>
      <c r="O266" s="525">
        <v>1024</v>
      </c>
      <c r="P266" s="525">
        <v>2.491</v>
      </c>
      <c r="Q266" s="513">
        <f>(P266*29)/('Field recov'!V266*2)</f>
        <v>36.1195</v>
      </c>
      <c r="R266" s="525">
        <v>2.253</v>
      </c>
      <c r="S266" s="512">
        <f>(R266*2)/'Field recov'!AA266</f>
        <v>4.84516129032258</v>
      </c>
      <c r="T266" s="525">
        <v>1.052</v>
      </c>
      <c r="U266" s="525">
        <v>1.149</v>
      </c>
      <c r="V266" s="512">
        <f>(T266/'Field recov'!AC266)+(U266/'Field recov'!AD266)</f>
        <v>2.201</v>
      </c>
      <c r="W266" s="525">
        <v>6.429</v>
      </c>
      <c r="X266" s="525">
        <v>3.538</v>
      </c>
      <c r="Y266" s="540">
        <f>(W266/'Field recov'!AG266)+(X266/'Field recov'!AH266)</f>
        <v>9.967</v>
      </c>
      <c r="Z266" s="525">
        <v>6.051</v>
      </c>
      <c r="AA266" s="525">
        <v>2.578</v>
      </c>
      <c r="AB266" s="512">
        <f>(Z266/'Field recov'!AK266)+(AA266/'Field recov'!AL266)</f>
        <v>8.629</v>
      </c>
      <c r="AC266" s="540">
        <f t="shared" si="33"/>
        <v>20.797</v>
      </c>
      <c r="AD266" s="517">
        <f t="shared" si="31"/>
        <v>1815.297</v>
      </c>
      <c r="AE266" s="518">
        <f>IF(OR(M266&lt;&gt;"",N266&lt;&gt;"",O266&lt;&gt;""),SUM(M266/'Field recov'!Q266,N266/'Field recov'!R266,O266/'Field recov'!T266),"")</f>
        <v>1036.27</v>
      </c>
      <c r="AF266" s="518">
        <f t="shared" si="34"/>
        <v>4.84516129032258</v>
      </c>
      <c r="AG266" s="518">
        <f t="shared" si="25"/>
        <v>20.797</v>
      </c>
      <c r="AH266" s="518">
        <f>IF(N266&lt;&gt;"",N266/'Field recov'!R266)</f>
        <v>12.27</v>
      </c>
      <c r="AI266" s="518"/>
      <c r="AJ266" s="625">
        <v>0.025232941176470586</v>
      </c>
      <c r="AK266" s="508">
        <f t="shared" si="35"/>
        <v>71941.55399104812</v>
      </c>
      <c r="AL266" s="508">
        <f t="shared" si="36"/>
        <v>41068.14155165983</v>
      </c>
      <c r="AM266" s="508">
        <f t="shared" si="37"/>
        <v>192.01730216216868</v>
      </c>
      <c r="AN266" s="508">
        <f t="shared" si="38"/>
        <v>824.2003916449087</v>
      </c>
      <c r="AO266" s="508">
        <f t="shared" si="39"/>
        <v>486.269116001492</v>
      </c>
      <c r="AP266" s="508">
        <f t="shared" si="40"/>
        <v>1431.4423256247671</v>
      </c>
      <c r="AR266" s="563"/>
    </row>
    <row r="267" spans="1:44" ht="12.75">
      <c r="A267" s="522" t="s">
        <v>568</v>
      </c>
      <c r="B267" s="525">
        <v>295.7</v>
      </c>
      <c r="C267" s="525">
        <v>1693</v>
      </c>
      <c r="D267" s="512">
        <f>(B267/'Field recov'!B267)+(C267/'Field recov'!C267)</f>
        <v>1988.7</v>
      </c>
      <c r="E267" s="525">
        <v>742.3</v>
      </c>
      <c r="F267" s="525">
        <v>898.9</v>
      </c>
      <c r="G267" s="512">
        <f>(E267/'Field recov'!F267)+(F267/'Field recov'!G267)</f>
        <v>1641.1999999999998</v>
      </c>
      <c r="H267" s="525"/>
      <c r="I267" s="525"/>
      <c r="J267" s="512"/>
      <c r="K267" s="509">
        <f t="shared" si="32"/>
        <v>3629.8999999999996</v>
      </c>
      <c r="L267" s="518"/>
      <c r="M267" s="520"/>
      <c r="N267" s="525">
        <v>1.288</v>
      </c>
      <c r="O267" s="525">
        <v>1426</v>
      </c>
      <c r="P267" s="525">
        <v>2.242</v>
      </c>
      <c r="Q267" s="513">
        <f>(P267*29)/('Field recov'!V267*2)</f>
        <v>32.509</v>
      </c>
      <c r="R267" s="525">
        <v>2.033</v>
      </c>
      <c r="S267" s="512">
        <f>(R267*2)/'Field recov'!AA267</f>
        <v>4.372043010752688</v>
      </c>
      <c r="T267" s="525">
        <v>11.38</v>
      </c>
      <c r="U267" s="525">
        <v>23.63</v>
      </c>
      <c r="V267" s="512">
        <f>(T267/'Field recov'!AC267)+(U267/'Field recov'!AD267)</f>
        <v>35.01</v>
      </c>
      <c r="W267" s="525">
        <v>5.777</v>
      </c>
      <c r="X267" s="525">
        <v>4.268</v>
      </c>
      <c r="Y267" s="540">
        <f>(W267/'Field recov'!AG267)+(X267/'Field recov'!AH267)</f>
        <v>10.045</v>
      </c>
      <c r="Z267" s="525">
        <v>5.283</v>
      </c>
      <c r="AA267" s="525">
        <v>5.06</v>
      </c>
      <c r="AB267" s="512">
        <f>(Z267/'Field recov'!AK267)+(AA267/'Field recov'!AL267)</f>
        <v>10.343</v>
      </c>
      <c r="AC267" s="540">
        <f t="shared" si="33"/>
        <v>55.397999999999996</v>
      </c>
      <c r="AD267" s="517">
        <f t="shared" si="31"/>
        <v>3685.298</v>
      </c>
      <c r="AE267" s="518">
        <f>IF(OR(M267&lt;&gt;"",N267&lt;&gt;"",O267&lt;&gt;""),SUM(M267/'Field recov'!Q267,N267/'Field recov'!R267,O267/'Field recov'!T267),"")</f>
        <v>1427.288</v>
      </c>
      <c r="AF267" s="518">
        <f t="shared" si="34"/>
        <v>4.372043010752688</v>
      </c>
      <c r="AG267" s="518">
        <f t="shared" si="25"/>
        <v>55.397999999999996</v>
      </c>
      <c r="AH267" s="518">
        <f>IF(N267&lt;&gt;"",N267/'Field recov'!R267)</f>
        <v>1.288</v>
      </c>
      <c r="AI267" s="518"/>
      <c r="AJ267" s="625">
        <v>0.0414</v>
      </c>
      <c r="AK267" s="508">
        <f t="shared" si="35"/>
        <v>89016.85990338164</v>
      </c>
      <c r="AL267" s="508">
        <f t="shared" si="36"/>
        <v>34475.555555555555</v>
      </c>
      <c r="AM267" s="508">
        <f t="shared" si="37"/>
        <v>105.60490364136928</v>
      </c>
      <c r="AN267" s="508">
        <f t="shared" si="38"/>
        <v>1338.1159420289855</v>
      </c>
      <c r="AO267" s="508">
        <f t="shared" si="39"/>
        <v>31.11111111111111</v>
      </c>
      <c r="AP267" s="508">
        <f t="shared" si="40"/>
        <v>785.2415458937198</v>
      </c>
      <c r="AR267" s="563"/>
    </row>
    <row r="268" spans="1:44" ht="12.75">
      <c r="A268" s="522" t="s">
        <v>569</v>
      </c>
      <c r="B268" s="525">
        <v>399.2</v>
      </c>
      <c r="C268" s="525">
        <v>424.7</v>
      </c>
      <c r="D268" s="512">
        <f>(B268/'Field recov'!B268)+(C268/'Field recov'!C268)</f>
        <v>823.9</v>
      </c>
      <c r="E268" s="525">
        <v>137</v>
      </c>
      <c r="F268" s="525">
        <v>101.1</v>
      </c>
      <c r="G268" s="512">
        <f>(E268/'Field recov'!F268)+(F268/'Field recov'!G268)</f>
        <v>238.1</v>
      </c>
      <c r="H268" s="525"/>
      <c r="I268" s="525"/>
      <c r="J268" s="512"/>
      <c r="K268" s="509">
        <f t="shared" si="32"/>
        <v>1062</v>
      </c>
      <c r="L268" s="518"/>
      <c r="M268" s="520"/>
      <c r="N268" s="525">
        <v>0.1744</v>
      </c>
      <c r="O268" s="525">
        <v>359.6</v>
      </c>
      <c r="P268" s="525">
        <v>4.248</v>
      </c>
      <c r="Q268" s="513">
        <f>(P268*29)/('Field recov'!V268*2)</f>
        <v>61.596000000000004</v>
      </c>
      <c r="R268" s="525">
        <v>3.673</v>
      </c>
      <c r="S268" s="512">
        <f>(R268*2)/'Field recov'!AA268</f>
        <v>7.898924731182795</v>
      </c>
      <c r="T268" s="525">
        <v>1.407</v>
      </c>
      <c r="U268" s="525">
        <v>0.5291</v>
      </c>
      <c r="V268" s="512">
        <f>(T268/'Field recov'!AC268)+(U268/'Field recov'!AD268)</f>
        <v>1.9361000000000002</v>
      </c>
      <c r="W268" s="525">
        <v>23.02</v>
      </c>
      <c r="X268" s="525">
        <v>6.658</v>
      </c>
      <c r="Y268" s="540">
        <f>(W268/'Field recov'!AG268)+(X268/'Field recov'!AH268)</f>
        <v>29.678</v>
      </c>
      <c r="Z268" s="525">
        <v>12.59</v>
      </c>
      <c r="AA268" s="525">
        <v>24.16</v>
      </c>
      <c r="AB268" s="512">
        <f>(Z268/'Field recov'!AK268)+(AA268/'Field recov'!AL268)</f>
        <v>36.75</v>
      </c>
      <c r="AC268" s="540">
        <f t="shared" si="33"/>
        <v>68.36410000000001</v>
      </c>
      <c r="AD268" s="517">
        <f t="shared" si="31"/>
        <v>1130.3641</v>
      </c>
      <c r="AE268" s="518">
        <f>IF(OR(M268&lt;&gt;"",N268&lt;&gt;"",O268&lt;&gt;""),SUM(M268/'Field recov'!Q268,N268/'Field recov'!R268,O268/'Field recov'!T268),"")</f>
        <v>359.7744</v>
      </c>
      <c r="AF268" s="518">
        <f t="shared" si="34"/>
        <v>7.898924731182795</v>
      </c>
      <c r="AG268" s="518">
        <f t="shared" si="25"/>
        <v>68.36410000000001</v>
      </c>
      <c r="AH268" s="518">
        <f>IF(N268&lt;&gt;"",N268/'Field recov'!R268)</f>
        <v>0.1744</v>
      </c>
      <c r="AI268" s="518"/>
      <c r="AJ268" s="625">
        <v>0.046075920000000006</v>
      </c>
      <c r="AK268" s="508">
        <f t="shared" si="35"/>
        <v>24532.643081245038</v>
      </c>
      <c r="AL268" s="508">
        <f t="shared" si="36"/>
        <v>7808.295526166378</v>
      </c>
      <c r="AM268" s="508">
        <f t="shared" si="37"/>
        <v>171.4328163427403</v>
      </c>
      <c r="AN268" s="508">
        <f t="shared" si="38"/>
        <v>1483.727291826186</v>
      </c>
      <c r="AO268" s="508">
        <f t="shared" si="39"/>
        <v>3.7850573575090847</v>
      </c>
      <c r="AP268" s="508">
        <f t="shared" si="40"/>
        <v>1336.8371157862935</v>
      </c>
      <c r="AR268" s="563"/>
    </row>
    <row r="269" spans="1:44" ht="12.75">
      <c r="A269" s="522" t="s">
        <v>570</v>
      </c>
      <c r="B269" s="525">
        <v>208</v>
      </c>
      <c r="C269" s="525">
        <v>309.4</v>
      </c>
      <c r="D269" s="512">
        <f>(B269/'Field recov'!B269)+(C269/'Field recov'!C269)</f>
        <v>517.4</v>
      </c>
      <c r="E269" s="525">
        <v>90.15</v>
      </c>
      <c r="F269" s="525">
        <v>229.3</v>
      </c>
      <c r="G269" s="512">
        <f>(E269/'Field recov'!F269)+(F269/'Field recov'!G269)</f>
        <v>319.45000000000005</v>
      </c>
      <c r="H269" s="525"/>
      <c r="I269" s="525"/>
      <c r="J269" s="512"/>
      <c r="K269" s="509">
        <f t="shared" si="32"/>
        <v>836.85</v>
      </c>
      <c r="L269" s="518"/>
      <c r="M269" s="520"/>
      <c r="N269" s="525">
        <v>1.894</v>
      </c>
      <c r="O269" s="525">
        <v>566.2</v>
      </c>
      <c r="P269" s="525">
        <v>0.799</v>
      </c>
      <c r="Q269" s="513">
        <f>(P269*29)/('Field recov'!V269*2)</f>
        <v>11.585500000000001</v>
      </c>
      <c r="R269" s="525">
        <v>2.696</v>
      </c>
      <c r="S269" s="512">
        <f>(R269*2)/'Field recov'!AA269</f>
        <v>5.797849462365591</v>
      </c>
      <c r="T269" s="525">
        <v>0.6846</v>
      </c>
      <c r="U269" s="525">
        <v>1.358</v>
      </c>
      <c r="V269" s="512">
        <f>(T269/'Field recov'!AC269)+(U269/'Field recov'!AD269)</f>
        <v>2.0426</v>
      </c>
      <c r="W269" s="525">
        <v>4.598</v>
      </c>
      <c r="X269" s="525">
        <v>3.63</v>
      </c>
      <c r="Y269" s="540">
        <f>(W269/'Field recov'!AG269)+(X269/'Field recov'!AH269)</f>
        <v>8.228</v>
      </c>
      <c r="Z269" s="525">
        <v>3.998</v>
      </c>
      <c r="AA269" s="525">
        <v>5.522</v>
      </c>
      <c r="AB269" s="512">
        <f>(Z269/'Field recov'!AK269)+(AA269/'Field recov'!AL269)</f>
        <v>9.52</v>
      </c>
      <c r="AC269" s="540">
        <f t="shared" si="33"/>
        <v>19.790599999999998</v>
      </c>
      <c r="AD269" s="517">
        <f t="shared" si="31"/>
        <v>856.6406000000001</v>
      </c>
      <c r="AE269" s="518">
        <f>IF(OR(M269&lt;&gt;"",N269&lt;&gt;"",O269&lt;&gt;""),SUM(M269/'Field recov'!Q269,N269/'Field recov'!R269,O269/'Field recov'!T269),"")</f>
        <v>568.094</v>
      </c>
      <c r="AF269" s="518">
        <f t="shared" si="34"/>
        <v>5.797849462365591</v>
      </c>
      <c r="AG269" s="518">
        <f t="shared" si="25"/>
        <v>19.790599999999998</v>
      </c>
      <c r="AH269" s="518">
        <f>IF(N269&lt;&gt;"",N269/'Field recov'!R269)</f>
        <v>1.894</v>
      </c>
      <c r="AI269" s="518"/>
      <c r="AJ269" s="625">
        <v>0.0855</v>
      </c>
      <c r="AK269" s="508">
        <f t="shared" si="35"/>
        <v>10019.188304093566</v>
      </c>
      <c r="AL269" s="508">
        <f t="shared" si="36"/>
        <v>6644.374269005848</v>
      </c>
      <c r="AM269" s="508">
        <f t="shared" si="37"/>
        <v>67.81110482298936</v>
      </c>
      <c r="AN269" s="508">
        <f t="shared" si="38"/>
        <v>231.46900584795318</v>
      </c>
      <c r="AO269" s="508">
        <f t="shared" si="39"/>
        <v>22.152046783625728</v>
      </c>
      <c r="AP269" s="508">
        <f t="shared" si="40"/>
        <v>135.5029239766082</v>
      </c>
      <c r="AR269" s="563"/>
    </row>
    <row r="270" spans="1:44" ht="12.75">
      <c r="A270" s="522" t="s">
        <v>571</v>
      </c>
      <c r="B270" s="525">
        <v>226.4</v>
      </c>
      <c r="C270" s="525">
        <v>338.8</v>
      </c>
      <c r="D270" s="512">
        <f>(B270/'Field recov'!B270)+(C270/'Field recov'!C270)</f>
        <v>565.2</v>
      </c>
      <c r="E270" s="525">
        <v>73.7</v>
      </c>
      <c r="F270" s="525">
        <v>78.57</v>
      </c>
      <c r="G270" s="512">
        <f>(E270/'Field recov'!F270)+(F270/'Field recov'!G270)</f>
        <v>152.26999999999998</v>
      </c>
      <c r="H270" s="525"/>
      <c r="I270" s="525"/>
      <c r="J270" s="512"/>
      <c r="K270" s="509">
        <f t="shared" si="32"/>
        <v>717.47</v>
      </c>
      <c r="L270" s="518"/>
      <c r="M270" s="520"/>
      <c r="N270" s="525">
        <v>0.281</v>
      </c>
      <c r="O270" s="525">
        <v>350.5</v>
      </c>
      <c r="P270" s="525">
        <v>2.504</v>
      </c>
      <c r="Q270" s="513">
        <f>(P270*29)/('Field recov'!V270*2)</f>
        <v>36.308</v>
      </c>
      <c r="R270" s="525">
        <v>0.7513</v>
      </c>
      <c r="S270" s="512">
        <f>(R270*2)/'Field recov'!AA270</f>
        <v>1.6156989247311826</v>
      </c>
      <c r="T270" s="525">
        <v>0.9891</v>
      </c>
      <c r="U270" s="525">
        <v>0.5105</v>
      </c>
      <c r="V270" s="512">
        <f>(T270/'Field recov'!AC270)+(U270/'Field recov'!AD270)</f>
        <v>1.4996</v>
      </c>
      <c r="W270" s="525">
        <v>6.294</v>
      </c>
      <c r="X270" s="525">
        <v>6.628</v>
      </c>
      <c r="Y270" s="540">
        <f>(W270/'Field recov'!AG270)+(X270/'Field recov'!AH270)</f>
        <v>12.922</v>
      </c>
      <c r="Z270" s="525">
        <v>13.81</v>
      </c>
      <c r="AA270" s="525">
        <v>11.75</v>
      </c>
      <c r="AB270" s="512">
        <f>(Z270/'Field recov'!AK270)+(AA270/'Field recov'!AL270)</f>
        <v>25.560000000000002</v>
      </c>
      <c r="AC270" s="540">
        <f t="shared" si="33"/>
        <v>39.9816</v>
      </c>
      <c r="AD270" s="517">
        <f t="shared" si="31"/>
        <v>757.4516</v>
      </c>
      <c r="AE270" s="518">
        <f>IF(OR(M270&lt;&gt;"",N270&lt;&gt;"",O270&lt;&gt;""),SUM(M270/'Field recov'!Q270,N270/'Field recov'!R270,O270/'Field recov'!T270),"")</f>
        <v>350.781</v>
      </c>
      <c r="AF270" s="518">
        <f t="shared" si="34"/>
        <v>1.6156989247311826</v>
      </c>
      <c r="AG270" s="518">
        <f t="shared" si="25"/>
        <v>39.9816</v>
      </c>
      <c r="AH270" s="518">
        <f>IF(N270&lt;&gt;"",N270/'Field recov'!R270)</f>
        <v>0.281</v>
      </c>
      <c r="AI270" s="518"/>
      <c r="AJ270" s="625">
        <v>0.03105</v>
      </c>
      <c r="AK270" s="508">
        <f t="shared" si="35"/>
        <v>24394.57648953301</v>
      </c>
      <c r="AL270" s="508">
        <f t="shared" si="36"/>
        <v>11297.294685990339</v>
      </c>
      <c r="AM270" s="508">
        <f t="shared" si="37"/>
        <v>52.03539210084324</v>
      </c>
      <c r="AN270" s="508">
        <f t="shared" si="38"/>
        <v>1287.6521739130435</v>
      </c>
      <c r="AO270" s="508">
        <f t="shared" si="39"/>
        <v>9.049919484702095</v>
      </c>
      <c r="AP270" s="508">
        <f t="shared" si="40"/>
        <v>1169.3397745571658</v>
      </c>
      <c r="AR270" s="563"/>
    </row>
    <row r="271" spans="1:44" ht="12.75">
      <c r="A271" s="522" t="s">
        <v>572</v>
      </c>
      <c r="B271" s="525">
        <v>688.7</v>
      </c>
      <c r="C271" s="525">
        <v>2435</v>
      </c>
      <c r="D271" s="512">
        <f>(B271/'Field recov'!B271)+(C271/'Field recov'!C271)</f>
        <v>3123.7</v>
      </c>
      <c r="E271" s="525">
        <v>576.1</v>
      </c>
      <c r="F271" s="525">
        <v>1865</v>
      </c>
      <c r="G271" s="512">
        <f>(E271/'Field recov'!F271)+(F271/'Field recov'!G271)</f>
        <v>2441.1</v>
      </c>
      <c r="H271" s="525"/>
      <c r="I271" s="525"/>
      <c r="J271" s="512"/>
      <c r="K271" s="509">
        <f t="shared" si="32"/>
        <v>5564.799999999999</v>
      </c>
      <c r="L271" s="518"/>
      <c r="M271" s="520"/>
      <c r="N271" s="525">
        <v>0.637</v>
      </c>
      <c r="O271" s="525">
        <v>968.3</v>
      </c>
      <c r="P271" s="525">
        <v>5.736</v>
      </c>
      <c r="Q271" s="513">
        <f>(P271*29)/('Field recov'!V271*2)</f>
        <v>83.172</v>
      </c>
      <c r="R271" s="525">
        <v>4.341</v>
      </c>
      <c r="S271" s="512">
        <f>(R271*2)/'Field recov'!AA271</f>
        <v>9.335483870967742</v>
      </c>
      <c r="T271" s="525">
        <v>2.097</v>
      </c>
      <c r="U271" s="525">
        <v>2.351</v>
      </c>
      <c r="V271" s="512">
        <f>(T271/'Field recov'!AC271)+(U271/'Field recov'!AD271)</f>
        <v>4.448</v>
      </c>
      <c r="W271" s="525">
        <v>29.37</v>
      </c>
      <c r="X271" s="525">
        <v>12.69</v>
      </c>
      <c r="Y271" s="540">
        <f>(W271/'Field recov'!AG271)+(X271/'Field recov'!AH271)</f>
        <v>42.06</v>
      </c>
      <c r="Z271" s="525">
        <v>27.44</v>
      </c>
      <c r="AA271" s="525">
        <v>14.59</v>
      </c>
      <c r="AB271" s="512">
        <f>(Z271/'Field recov'!AK271)+(AA271/'Field recov'!AL271)</f>
        <v>42.03</v>
      </c>
      <c r="AC271" s="540">
        <f t="shared" si="33"/>
        <v>88.53800000000001</v>
      </c>
      <c r="AD271" s="517">
        <f t="shared" si="31"/>
        <v>5653.338</v>
      </c>
      <c r="AE271" s="518">
        <f>IF(OR(M271&lt;&gt;"",N271&lt;&gt;"",O271&lt;&gt;""),SUM(M271/'Field recov'!Q271,N271/'Field recov'!R271,O271/'Field recov'!T271),"")</f>
        <v>968.9369999999999</v>
      </c>
      <c r="AF271" s="518">
        <f t="shared" si="34"/>
        <v>9.335483870967742</v>
      </c>
      <c r="AG271" s="518">
        <f t="shared" si="25"/>
        <v>88.53800000000001</v>
      </c>
      <c r="AH271" s="518">
        <f>IF(N271&lt;&gt;"",N271/'Field recov'!R271)</f>
        <v>0.637</v>
      </c>
      <c r="AI271" s="518"/>
      <c r="AJ271" s="625">
        <v>0.04005</v>
      </c>
      <c r="AK271" s="508">
        <f t="shared" si="35"/>
        <v>141157.00374531833</v>
      </c>
      <c r="AL271" s="508">
        <f t="shared" si="36"/>
        <v>24193.183520599247</v>
      </c>
      <c r="AM271" s="508">
        <f t="shared" si="37"/>
        <v>233.0957271152994</v>
      </c>
      <c r="AN271" s="508">
        <f t="shared" si="38"/>
        <v>2210.686641697878</v>
      </c>
      <c r="AO271" s="508">
        <f t="shared" si="39"/>
        <v>15.905118601747814</v>
      </c>
      <c r="AP271" s="508">
        <f t="shared" si="40"/>
        <v>2076.704119850187</v>
      </c>
      <c r="AR271" s="563"/>
    </row>
    <row r="272" spans="1:44" ht="12.75">
      <c r="A272" s="522" t="s">
        <v>573</v>
      </c>
      <c r="B272" s="525">
        <v>6283</v>
      </c>
      <c r="C272" s="525">
        <v>10251</v>
      </c>
      <c r="D272" s="512">
        <f>(B272/'Field recov'!B272)+(C272/'Field recov'!C272)</f>
        <v>16534</v>
      </c>
      <c r="E272" s="525">
        <v>992.9</v>
      </c>
      <c r="F272" s="525">
        <v>3890</v>
      </c>
      <c r="G272" s="512">
        <f>(E272/'Field recov'!F272)+(F272/'Field recov'!G272)</f>
        <v>4882.9</v>
      </c>
      <c r="H272" s="525"/>
      <c r="I272" s="525"/>
      <c r="J272" s="512"/>
      <c r="K272" s="509">
        <f t="shared" si="32"/>
        <v>21416.9</v>
      </c>
      <c r="L272" s="518"/>
      <c r="M272" s="520"/>
      <c r="N272" s="525">
        <v>1.514</v>
      </c>
      <c r="O272" s="525">
        <v>1255</v>
      </c>
      <c r="P272" s="525">
        <v>7.354</v>
      </c>
      <c r="Q272" s="513">
        <f>(P272*29)/('Field recov'!V272*1.95)</f>
        <v>109.36717948717948</v>
      </c>
      <c r="R272" s="525">
        <v>15.1</v>
      </c>
      <c r="S272" s="512">
        <f>(R272*2)/'Field recov'!AA272</f>
        <v>30.2</v>
      </c>
      <c r="T272" s="525">
        <v>3.901</v>
      </c>
      <c r="U272" s="525">
        <v>8.344</v>
      </c>
      <c r="V272" s="512">
        <f>(T272/'Field recov'!AC272)+(U272/'Field recov'!AD272)</f>
        <v>12.245</v>
      </c>
      <c r="W272" s="525">
        <v>28.88</v>
      </c>
      <c r="X272" s="525">
        <v>26.33</v>
      </c>
      <c r="Y272" s="540">
        <f>(W272/'Field recov'!AG272)+(X272/'Field recov'!AH272)</f>
        <v>55.209999999999994</v>
      </c>
      <c r="Z272" s="525">
        <v>33.11</v>
      </c>
      <c r="AA272" s="525">
        <v>53.76</v>
      </c>
      <c r="AB272" s="512">
        <f>(Z272/'Field recov'!AK272)+(AA272/'Field recov'!AL272)</f>
        <v>86.87</v>
      </c>
      <c r="AC272" s="540">
        <f t="shared" si="33"/>
        <v>154.325</v>
      </c>
      <c r="AD272" s="517">
        <f t="shared" si="31"/>
        <v>21571.225000000002</v>
      </c>
      <c r="AE272" s="518">
        <f>IF(OR(M272&lt;&gt;"",N272&lt;&gt;"",O272&lt;&gt;""),SUM(M272/'Field recov'!Q272,N272/'Field recov'!R272,O272/'Field recov'!T272),"")</f>
        <v>1256.514</v>
      </c>
      <c r="AF272" s="518">
        <f t="shared" si="34"/>
        <v>30.2</v>
      </c>
      <c r="AG272" s="518">
        <f t="shared" si="25"/>
        <v>154.325</v>
      </c>
      <c r="AH272" s="518">
        <f>IF(N272&lt;&gt;"",N272/'Field recov'!R272)</f>
        <v>1.514</v>
      </c>
      <c r="AI272" s="518"/>
      <c r="AJ272" s="625">
        <v>0.07</v>
      </c>
      <c r="AK272" s="508">
        <f t="shared" si="35"/>
        <v>308160.35714285716</v>
      </c>
      <c r="AL272" s="508">
        <f t="shared" si="36"/>
        <v>17950.199999999997</v>
      </c>
      <c r="AM272" s="508">
        <f t="shared" si="37"/>
        <v>431.4285714285714</v>
      </c>
      <c r="AN272" s="508">
        <f t="shared" si="38"/>
        <v>2204.642857142857</v>
      </c>
      <c r="AO272" s="508">
        <f t="shared" si="39"/>
        <v>21.628571428571426</v>
      </c>
      <c r="AP272" s="508">
        <f t="shared" si="40"/>
        <v>1562.3882783882782</v>
      </c>
      <c r="AR272" s="563"/>
    </row>
    <row r="273" spans="1:44" ht="12.75">
      <c r="A273" s="522" t="s">
        <v>574</v>
      </c>
      <c r="B273" s="525">
        <v>202.2</v>
      </c>
      <c r="C273" s="525">
        <v>6157</v>
      </c>
      <c r="D273" s="512">
        <f>(B273/'Field recov'!B273)+(C273/'Field recov'!C273)</f>
        <v>6359.2</v>
      </c>
      <c r="E273" s="525">
        <v>468.8</v>
      </c>
      <c r="F273" s="525">
        <v>1487</v>
      </c>
      <c r="G273" s="512">
        <f>(E273/'Field recov'!F273)+(F273/'Field recov'!G273)</f>
        <v>1955.8</v>
      </c>
      <c r="H273" s="525"/>
      <c r="I273" s="525"/>
      <c r="J273" s="512"/>
      <c r="K273" s="509">
        <f t="shared" si="32"/>
        <v>8315</v>
      </c>
      <c r="L273" s="518"/>
      <c r="M273" s="520"/>
      <c r="N273" s="525">
        <v>0.9321</v>
      </c>
      <c r="O273" s="525">
        <v>1306</v>
      </c>
      <c r="P273" s="525">
        <v>0.5388</v>
      </c>
      <c r="Q273" s="513">
        <f>(P273*29)/('Field recov'!V273*2)</f>
        <v>7.812599999999999</v>
      </c>
      <c r="R273" s="525">
        <v>3.724</v>
      </c>
      <c r="S273" s="512">
        <f>(R273*2)/'Field recov'!AA273</f>
        <v>8.008602150537634</v>
      </c>
      <c r="T273" s="525">
        <v>1.165</v>
      </c>
      <c r="U273" s="525">
        <v>37.81</v>
      </c>
      <c r="V273" s="512">
        <f>(T273/'Field recov'!AC273)+(U273/'Field recov'!AD273)</f>
        <v>38.975</v>
      </c>
      <c r="W273" s="525">
        <v>33.55</v>
      </c>
      <c r="X273" s="525">
        <v>2.372</v>
      </c>
      <c r="Y273" s="540">
        <f>(W273/'Field recov'!AG273)+(X273/'Field recov'!AH273)</f>
        <v>35.922</v>
      </c>
      <c r="Z273" s="525">
        <v>2.758</v>
      </c>
      <c r="AA273" s="525">
        <v>2.214</v>
      </c>
      <c r="AB273" s="512">
        <f>(Z273/'Field recov'!AK273)+(AA273/'Field recov'!AL273)</f>
        <v>4.9719999999999995</v>
      </c>
      <c r="AC273" s="540">
        <f t="shared" si="33"/>
        <v>79.86899999999999</v>
      </c>
      <c r="AD273" s="517">
        <f t="shared" si="31"/>
        <v>8394.869</v>
      </c>
      <c r="AE273" s="518">
        <f>IF(OR(M273&lt;&gt;"",N273&lt;&gt;"",O273&lt;&gt;""),SUM(M273/'Field recov'!Q273,N273/'Field recov'!R273,O273/'Field recov'!T273),"")</f>
        <v>1306.9321</v>
      </c>
      <c r="AF273" s="518">
        <f t="shared" si="34"/>
        <v>8.008602150537634</v>
      </c>
      <c r="AG273" s="518">
        <f t="shared" si="25"/>
        <v>79.86899999999999</v>
      </c>
      <c r="AH273" s="518">
        <f>IF(N273&lt;&gt;"",N273/'Field recov'!R273)</f>
        <v>0.9321</v>
      </c>
      <c r="AI273" s="518"/>
      <c r="AJ273" s="625">
        <v>0.05429192727272727</v>
      </c>
      <c r="AK273" s="508">
        <f t="shared" si="35"/>
        <v>154624.62693264964</v>
      </c>
      <c r="AL273" s="508">
        <f t="shared" si="36"/>
        <v>24072.30992988745</v>
      </c>
      <c r="AM273" s="508">
        <f t="shared" si="37"/>
        <v>147.50999923630698</v>
      </c>
      <c r="AN273" s="508">
        <f t="shared" si="38"/>
        <v>1471.1026852811867</v>
      </c>
      <c r="AO273" s="508">
        <f t="shared" si="39"/>
        <v>17.168298250267245</v>
      </c>
      <c r="AP273" s="508">
        <f t="shared" si="40"/>
        <v>143.8998464864691</v>
      </c>
      <c r="AR273" s="563"/>
    </row>
    <row r="274" spans="1:44" ht="12.75">
      <c r="A274" s="522" t="s">
        <v>218</v>
      </c>
      <c r="B274" s="525">
        <v>114.7</v>
      </c>
      <c r="C274" s="525">
        <v>233.5</v>
      </c>
      <c r="D274" s="512">
        <f>(B274/'Field recov'!B274)+(C274/'Field recov'!C274)</f>
        <v>348.2</v>
      </c>
      <c r="E274" s="525">
        <v>551.8</v>
      </c>
      <c r="F274" s="525">
        <v>74.49</v>
      </c>
      <c r="G274" s="512">
        <f>(E274/'Field recov'!F274)+(F274/'Field recov'!G274)</f>
        <v>626.29</v>
      </c>
      <c r="H274" s="525"/>
      <c r="I274" s="525"/>
      <c r="J274" s="512"/>
      <c r="K274" s="509">
        <f t="shared" si="32"/>
        <v>974.49</v>
      </c>
      <c r="L274" s="518"/>
      <c r="M274" s="520"/>
      <c r="N274" s="525">
        <v>0.148</v>
      </c>
      <c r="O274" s="525">
        <v>450</v>
      </c>
      <c r="P274" s="525">
        <v>0.4471</v>
      </c>
      <c r="Q274" s="513">
        <f>(P274*29)/('Field recov'!V274*2)</f>
        <v>6.48295</v>
      </c>
      <c r="R274" s="525">
        <v>0.5577</v>
      </c>
      <c r="S274" s="512">
        <f>(R274*2)/'Field recov'!AA274</f>
        <v>1.1993548387096773</v>
      </c>
      <c r="T274" s="525">
        <v>37.44</v>
      </c>
      <c r="U274" s="525">
        <v>0.7864</v>
      </c>
      <c r="V274" s="512">
        <f>(T274/'Field recov'!AC274)+(U274/'Field recov'!AD274)</f>
        <v>38.2264</v>
      </c>
      <c r="W274" s="525">
        <v>1.502</v>
      </c>
      <c r="X274" s="525">
        <v>0.7864</v>
      </c>
      <c r="Y274" s="540">
        <f>(W274/'Field recov'!AG274)+(X274/'Field recov'!AH274)</f>
        <v>2.2884</v>
      </c>
      <c r="Z274" s="525">
        <v>0.995</v>
      </c>
      <c r="AA274" s="525">
        <v>0.8802</v>
      </c>
      <c r="AB274" s="512">
        <f>(Z274/'Field recov'!AK274)+(AA274/'Field recov'!AL274)</f>
        <v>1.8752</v>
      </c>
      <c r="AC274" s="540">
        <f t="shared" si="33"/>
        <v>42.39</v>
      </c>
      <c r="AD274" s="517">
        <f t="shared" si="31"/>
        <v>1016.88</v>
      </c>
      <c r="AE274" s="518">
        <f>IF(OR(M274&lt;&gt;"",N274&lt;&gt;"",O274&lt;&gt;""),SUM(M274/'Field recov'!Q274,N274/'Field recov'!R274,O274/'Field recov'!T274),"")</f>
        <v>450.148</v>
      </c>
      <c r="AF274" s="518">
        <f t="shared" si="34"/>
        <v>1.1993548387096773</v>
      </c>
      <c r="AG274" s="518">
        <f t="shared" si="25"/>
        <v>42.39</v>
      </c>
      <c r="AH274" s="518">
        <f>IF(N274&lt;&gt;"",N274/'Field recov'!R274)</f>
        <v>0.148</v>
      </c>
      <c r="AI274" s="518"/>
      <c r="AJ274" s="625">
        <v>0.025687999999999996</v>
      </c>
      <c r="AK274" s="508">
        <f t="shared" si="35"/>
        <v>39585.79881656805</v>
      </c>
      <c r="AL274" s="508">
        <f t="shared" si="36"/>
        <v>17523.66863905326</v>
      </c>
      <c r="AM274" s="508">
        <f t="shared" si="37"/>
        <v>46.689303904923605</v>
      </c>
      <c r="AN274" s="508">
        <f t="shared" si="38"/>
        <v>1650.1868576767365</v>
      </c>
      <c r="AO274" s="508">
        <f t="shared" si="39"/>
        <v>5.761445032700094</v>
      </c>
      <c r="AP274" s="508">
        <f t="shared" si="40"/>
        <v>252.37270320772348</v>
      </c>
      <c r="AR274" s="563"/>
    </row>
    <row r="275" spans="1:44" s="536" customFormat="1" ht="12.75">
      <c r="A275" s="567"/>
      <c r="Q275" s="555"/>
      <c r="AD275" s="645"/>
      <c r="AE275" s="645"/>
      <c r="AF275" s="645"/>
      <c r="AG275" s="645"/>
      <c r="AH275" s="645"/>
      <c r="AI275" s="645"/>
      <c r="AJ275" s="628"/>
      <c r="AK275" s="559"/>
      <c r="AL275" s="559"/>
      <c r="AM275" s="559"/>
      <c r="AN275" s="559"/>
      <c r="AO275" s="559"/>
      <c r="AP275" s="559"/>
      <c r="AR275" s="559"/>
    </row>
  </sheetData>
  <sheetProtection sheet="1" formatCells="0" formatColumns="0" formatRows="0"/>
  <printOptions/>
  <pageMargins left="0.75" right="0.75" top="1" bottom="1" header="0.4921259845" footer="0.4921259845"/>
  <pageSetup fitToHeight="5" fitToWidth="2" horizontalDpi="600" verticalDpi="600" orientation="landscape" paperSize="9" scale="48" r:id="rId3"/>
  <ignoredErrors>
    <ignoredError sqref="D45:D54 BD15:BE275 AQ165:AQ275 AX15:BC74 W166 AJ245:AJ264 AJ275 AQ15:AQ44 AM275 AK15:AK34 AG275 AE15:AE34 Z265:AA275 AX165:BC275 AL15:AL34 W225:X244 AF275 AL275 AK275 Q275 H15:I44 A15:A275 AP275 AN275 AH275 AO275 H265:I275 AD165 AE165 AL165 AL185 AL205 AL245:AL264 Z168 T170:U170 AD172 W174:X174 Z178:AA178 T180:U180 AD182 W184:X184 R178:R205 Z186:AA186 AE275 W194:X194 T206 AD208 AD214 Z15:Z40 AD224:AD244 AD265:AD275 AD190 W192:X192 T196:U196 AD198 W200:X200 Z202:AA202 T265:T275 AK245:AK264 AG15:AG18 AN15:AN18 AS165:AW275 B15:C35 G275 D15:D34 B167:C167 D275 E167:F167 K275 E15:F54 G15:G34 AS15:AS44 J275 H178 H186:I186 H188:I188 H190:I190 H192:I192 H194:I194 H196:I196 H198:I198 H200:I200 H202:I202 H204:I204 H218 Z42:Z44 M167:P167 V275 R16:R17 P19:P44 W204:X204 S275 Z188:AA188 AB275 U44 AD15:AD44 W176:X176 Y275 AC275 X44 W265:X275 T166:U166 AD168 T168:U168 W168:X168 W170:X170 AD170 Z170 Z172:AA172 X172 T172:U172 T174:U174 Z174:AA174 AD174 AD176 T176:U176 Z176:AA176 R165:R176 AD178 T178:U178 W178:X178 W180:X180 AD180 X182 Z182:AA182 AA235:AA244 T182:U182 T184:U184 Z184:AA184 AD184 AD186 T186:U186 W186:X186 W188:X188 AD188 T188:U188 W190:X190 T190:U190 Z190:AA190 Z192:AA192 AD192 T192:U192 T194:U194 Z194:AA194 AD194 AD196 Z196:AA196 W196:X196 W198:X198 T198:U198 Z198:AA198 Z200:AA200 AD200 T200:U200 T202:U202 W202:X202 AD202 AD204 T204:U204 Z204:AA204 AD206 W206:X206 AA15:AA40 AA43 AD210 AD212 U265:U275 U211:U212 T211:T214 AD216 AA216 AD218 AD220 AD222 U225:U244 T225:T244 I243 AT15:AW54 M33:M36 R19:R44 N19:N24 M19:M24 N28:N30 M28:M30 N33:N36 N38:N44 B37:C54 B36 M38:M44 E215:F215 M221:P221 M220 M209:P209 M208:N208 B273:C275 B272 M165:N165 P165 F166 M166:N166 P166 M169:P169 M168:N168 P168 E169:F169 B169:C169 B171:C171 E171:F171 E170 M171:P171 M170:N170 P170 B173:C173 B172 E173:F173 E172 M173:P173 M172:N172 B175:C175 E175:F177 M175:P175 M174:N174 P174 B177:C177 M177:P177 M176:N176 P176 M179:P179 M178:N178 P178 M181:P181 M180:N180 P180 M183:P183 M182:N182 P182 M185:P205 M184:N184 P184 E179:F181 E183:F183 E185:F205 E184 B179:C179 B181:C181 B183:C183 B185:C205 B184 B207:C207 B209:C209 B211:C211 B213:C213 B215:C215 B217:C217 B219:C219 B221:C221 B223:C223 B225:C271 E207:F207 E209:F209 E211:F211 F210 E213:F213 E217:F217 E219:F219 E221:F221 E223:F223 E225:F275 M211:P211 M210 M213:P213 M212 M207:P207 M206:N206 M215:P215 M214:N214 W208 M217:P217 M216:N216 M219:P219 M218:N218 M223:P223 M222:N222 M225:P275 M224:N224 R207 R209 R211:R213 R215 R217 R219 R221 R223 R225:R275 O15 W15 O16:O44 P16:P17 T15:T43 U15:U42 W44 W16:W40 W42 X16:X40 X42 H241:H244 H225 H228:H230 H233:H239 I226:I227 I238 I240 Z233:Z244 Z225:Z231 AA225:AA226 AA228:AA231 AA233 Z180" twoDigitTextYear="1"/>
  </ignoredErrors>
  <legacyDrawing r:id="rId2"/>
</worksheet>
</file>

<file path=xl/worksheets/sheet28.xml><?xml version="1.0" encoding="utf-8"?>
<worksheet xmlns="http://schemas.openxmlformats.org/spreadsheetml/2006/main" xmlns:r="http://schemas.openxmlformats.org/officeDocument/2006/relationships">
  <sheetPr codeName="Feuil6"/>
  <dimension ref="A1:AQ274"/>
  <sheetViews>
    <sheetView zoomScale="75" zoomScaleNormal="75" zoomScalePageLayoutView="0" workbookViewId="0" topLeftCell="A1">
      <pane xSplit="1" ySplit="1" topLeftCell="AA2" activePane="bottomRight" state="frozen"/>
      <selection pane="topLeft" activeCell="A1" sqref="A1"/>
      <selection pane="topRight" activeCell="B1" sqref="B1"/>
      <selection pane="bottomLeft" activeCell="A2" sqref="A2"/>
      <selection pane="bottomRight" activeCell="Q246" sqref="Q246"/>
    </sheetView>
  </sheetViews>
  <sheetFormatPr defaultColWidth="11.421875" defaultRowHeight="12.75"/>
  <cols>
    <col min="1" max="1" width="11.421875" style="535" customWidth="1"/>
    <col min="2" max="16384" width="11.421875" style="534" customWidth="1"/>
  </cols>
  <sheetData>
    <row r="1" spans="1:43" ht="60">
      <c r="A1" s="492" t="s">
        <v>107</v>
      </c>
      <c r="B1" s="492" t="s">
        <v>407</v>
      </c>
      <c r="C1" s="492" t="s">
        <v>406</v>
      </c>
      <c r="D1" s="492" t="s">
        <v>426</v>
      </c>
      <c r="E1" s="493" t="s">
        <v>427</v>
      </c>
      <c r="F1" s="492" t="s">
        <v>405</v>
      </c>
      <c r="G1" s="492" t="s">
        <v>408</v>
      </c>
      <c r="H1" s="492" t="s">
        <v>434</v>
      </c>
      <c r="I1" s="493" t="s">
        <v>429</v>
      </c>
      <c r="J1" s="492" t="s">
        <v>409</v>
      </c>
      <c r="K1" s="492" t="s">
        <v>410</v>
      </c>
      <c r="L1" s="492" t="s">
        <v>411</v>
      </c>
      <c r="M1" s="492" t="s">
        <v>435</v>
      </c>
      <c r="N1" s="493" t="s">
        <v>423</v>
      </c>
      <c r="O1" s="492" t="s">
        <v>432</v>
      </c>
      <c r="P1" s="493" t="s">
        <v>433</v>
      </c>
      <c r="Q1" s="492" t="s">
        <v>399</v>
      </c>
      <c r="R1" s="492" t="s">
        <v>400</v>
      </c>
      <c r="S1" s="492" t="s">
        <v>614</v>
      </c>
      <c r="T1" s="492" t="s">
        <v>613</v>
      </c>
      <c r="U1" s="492" t="s">
        <v>611</v>
      </c>
      <c r="V1" s="492" t="s">
        <v>612</v>
      </c>
      <c r="W1" s="493" t="s">
        <v>402</v>
      </c>
      <c r="X1" s="492" t="s">
        <v>412</v>
      </c>
      <c r="Y1" s="492" t="s">
        <v>413</v>
      </c>
      <c r="Z1" s="492" t="s">
        <v>414</v>
      </c>
      <c r="AA1" s="492" t="s">
        <v>424</v>
      </c>
      <c r="AB1" s="493" t="s">
        <v>425</v>
      </c>
      <c r="AC1" s="492" t="s">
        <v>415</v>
      </c>
      <c r="AD1" s="492" t="s">
        <v>418</v>
      </c>
      <c r="AE1" s="492" t="s">
        <v>428</v>
      </c>
      <c r="AF1" s="493" t="s">
        <v>429</v>
      </c>
      <c r="AG1" s="492" t="s">
        <v>416</v>
      </c>
      <c r="AH1" s="492" t="s">
        <v>417</v>
      </c>
      <c r="AI1" s="492" t="s">
        <v>426</v>
      </c>
      <c r="AJ1" s="493" t="s">
        <v>427</v>
      </c>
      <c r="AK1" s="492" t="s">
        <v>419</v>
      </c>
      <c r="AL1" s="492" t="s">
        <v>420</v>
      </c>
      <c r="AM1" s="492" t="s">
        <v>421</v>
      </c>
      <c r="AN1" s="492" t="s">
        <v>422</v>
      </c>
      <c r="AO1" s="493" t="s">
        <v>423</v>
      </c>
      <c r="AP1" s="492" t="s">
        <v>430</v>
      </c>
      <c r="AQ1" s="493" t="s">
        <v>431</v>
      </c>
    </row>
    <row r="2" spans="1:43" ht="12.75">
      <c r="A2" s="494"/>
      <c r="B2" s="495"/>
      <c r="C2" s="495"/>
      <c r="D2" s="495"/>
      <c r="E2" s="496"/>
      <c r="F2" s="495"/>
      <c r="G2" s="495"/>
      <c r="H2" s="495"/>
      <c r="I2" s="496"/>
      <c r="J2" s="495"/>
      <c r="K2" s="495"/>
      <c r="L2" s="495"/>
      <c r="M2" s="495"/>
      <c r="N2" s="496"/>
      <c r="O2" s="495"/>
      <c r="P2" s="496"/>
      <c r="Q2" s="495" t="s">
        <v>110</v>
      </c>
      <c r="R2" s="495" t="s">
        <v>110</v>
      </c>
      <c r="S2" s="495" t="s">
        <v>110</v>
      </c>
      <c r="T2" s="495" t="s">
        <v>110</v>
      </c>
      <c r="U2" s="495" t="s">
        <v>110</v>
      </c>
      <c r="V2" s="495" t="s">
        <v>110</v>
      </c>
      <c r="W2" s="496"/>
      <c r="X2" s="495" t="s">
        <v>110</v>
      </c>
      <c r="Y2" s="495" t="s">
        <v>110</v>
      </c>
      <c r="Z2" s="495" t="s">
        <v>110</v>
      </c>
      <c r="AA2" s="495"/>
      <c r="AB2" s="496"/>
      <c r="AC2" s="495"/>
      <c r="AD2" s="495"/>
      <c r="AE2" s="495"/>
      <c r="AF2" s="496"/>
      <c r="AG2" s="495"/>
      <c r="AH2" s="495"/>
      <c r="AI2" s="495"/>
      <c r="AJ2" s="496"/>
      <c r="AK2" s="495"/>
      <c r="AL2" s="495"/>
      <c r="AM2" s="495"/>
      <c r="AN2" s="495"/>
      <c r="AO2" s="496"/>
      <c r="AP2" s="495"/>
      <c r="AQ2" s="495"/>
    </row>
    <row r="3" spans="1:43" s="536" customFormat="1" ht="12.75">
      <c r="A3" s="550" t="s">
        <v>347</v>
      </c>
      <c r="B3" s="550">
        <v>0.92</v>
      </c>
      <c r="C3" s="550">
        <v>0.92</v>
      </c>
      <c r="D3" s="550"/>
      <c r="E3" s="550"/>
      <c r="F3" s="550">
        <v>0.92</v>
      </c>
      <c r="G3" s="550">
        <v>0.92</v>
      </c>
      <c r="H3" s="550"/>
      <c r="I3" s="550"/>
      <c r="J3" s="550">
        <v>0.92</v>
      </c>
      <c r="K3" s="550">
        <v>0.92</v>
      </c>
      <c r="L3" s="550"/>
      <c r="M3" s="550"/>
      <c r="N3" s="550"/>
      <c r="O3" s="550"/>
      <c r="P3" s="550"/>
      <c r="Q3" s="550">
        <v>1</v>
      </c>
      <c r="R3" s="550">
        <v>1</v>
      </c>
      <c r="S3" s="550">
        <v>0.91</v>
      </c>
      <c r="T3" s="550">
        <v>0.91</v>
      </c>
      <c r="U3" s="550">
        <v>0.71</v>
      </c>
      <c r="V3" s="550">
        <v>0.71</v>
      </c>
      <c r="W3" s="550"/>
      <c r="X3" s="550"/>
      <c r="Y3" s="550"/>
      <c r="Z3" s="550"/>
      <c r="AA3" s="550">
        <v>1</v>
      </c>
      <c r="AB3" s="550"/>
      <c r="AC3" s="550">
        <v>1</v>
      </c>
      <c r="AD3" s="550">
        <v>1</v>
      </c>
      <c r="AE3" s="550"/>
      <c r="AF3" s="550"/>
      <c r="AG3" s="550">
        <v>1</v>
      </c>
      <c r="AH3" s="550">
        <v>1</v>
      </c>
      <c r="AI3" s="550"/>
      <c r="AJ3" s="550"/>
      <c r="AK3" s="550">
        <v>1</v>
      </c>
      <c r="AL3" s="550">
        <v>1</v>
      </c>
      <c r="AM3" s="550"/>
      <c r="AN3" s="550"/>
      <c r="AO3" s="550"/>
      <c r="AP3" s="550"/>
      <c r="AQ3" s="550"/>
    </row>
    <row r="4" spans="1:43" ht="12.75">
      <c r="A4" s="495" t="s">
        <v>348</v>
      </c>
      <c r="B4" s="495">
        <v>0.92</v>
      </c>
      <c r="C4" s="495">
        <v>0.92</v>
      </c>
      <c r="D4" s="495"/>
      <c r="E4" s="495"/>
      <c r="F4" s="495">
        <v>0.92</v>
      </c>
      <c r="G4" s="495">
        <v>0.92</v>
      </c>
      <c r="H4" s="495"/>
      <c r="I4" s="495"/>
      <c r="J4" s="495">
        <v>0.92</v>
      </c>
      <c r="K4" s="495">
        <v>0.92</v>
      </c>
      <c r="L4" s="495"/>
      <c r="M4" s="495"/>
      <c r="N4" s="495"/>
      <c r="O4" s="495"/>
      <c r="P4" s="495"/>
      <c r="Q4" s="495">
        <v>1</v>
      </c>
      <c r="R4" s="495">
        <v>1</v>
      </c>
      <c r="S4" s="495">
        <v>0.61</v>
      </c>
      <c r="T4" s="495">
        <v>0.91</v>
      </c>
      <c r="U4" s="495">
        <v>0.71</v>
      </c>
      <c r="V4" s="495">
        <v>0.7</v>
      </c>
      <c r="W4" s="495"/>
      <c r="X4" s="495"/>
      <c r="Y4" s="495"/>
      <c r="Z4" s="495"/>
      <c r="AA4" s="495">
        <v>1</v>
      </c>
      <c r="AB4" s="495"/>
      <c r="AC4" s="495">
        <v>1</v>
      </c>
      <c r="AD4" s="495">
        <v>1</v>
      </c>
      <c r="AE4" s="495"/>
      <c r="AF4" s="495"/>
      <c r="AG4" s="495">
        <v>1</v>
      </c>
      <c r="AH4" s="495">
        <v>1</v>
      </c>
      <c r="AI4" s="495"/>
      <c r="AJ4" s="495"/>
      <c r="AK4" s="495">
        <v>1</v>
      </c>
      <c r="AL4" s="495">
        <v>1</v>
      </c>
      <c r="AM4" s="495"/>
      <c r="AN4" s="495"/>
      <c r="AO4" s="495"/>
      <c r="AP4" s="495"/>
      <c r="AQ4" s="495"/>
    </row>
    <row r="5" spans="1:43" ht="12.75">
      <c r="A5" s="495" t="s">
        <v>349</v>
      </c>
      <c r="B5" s="495">
        <v>0.92</v>
      </c>
      <c r="C5" s="495">
        <v>0.92</v>
      </c>
      <c r="D5" s="495"/>
      <c r="E5" s="495"/>
      <c r="F5" s="495">
        <v>0.92</v>
      </c>
      <c r="G5" s="495">
        <v>0.92</v>
      </c>
      <c r="H5" s="495"/>
      <c r="I5" s="495"/>
      <c r="J5" s="495">
        <v>0.92</v>
      </c>
      <c r="K5" s="495">
        <v>0.92</v>
      </c>
      <c r="L5" s="495"/>
      <c r="M5" s="495"/>
      <c r="N5" s="495"/>
      <c r="O5" s="495"/>
      <c r="P5" s="495"/>
      <c r="Q5" s="495">
        <v>1</v>
      </c>
      <c r="R5" s="495">
        <v>1</v>
      </c>
      <c r="S5" s="495">
        <v>0.91</v>
      </c>
      <c r="T5" s="495">
        <v>0.91</v>
      </c>
      <c r="U5" s="495">
        <v>0.71</v>
      </c>
      <c r="V5" s="495">
        <v>0.71</v>
      </c>
      <c r="W5" s="495"/>
      <c r="X5" s="495"/>
      <c r="Y5" s="495"/>
      <c r="Z5" s="495"/>
      <c r="AA5" s="495">
        <v>1</v>
      </c>
      <c r="AB5" s="495"/>
      <c r="AC5" s="495">
        <v>1</v>
      </c>
      <c r="AD5" s="495">
        <v>1</v>
      </c>
      <c r="AE5" s="495"/>
      <c r="AF5" s="495"/>
      <c r="AG5" s="495">
        <v>1</v>
      </c>
      <c r="AH5" s="495">
        <v>1</v>
      </c>
      <c r="AI5" s="495"/>
      <c r="AJ5" s="495"/>
      <c r="AK5" s="495">
        <v>1</v>
      </c>
      <c r="AL5" s="495">
        <v>1</v>
      </c>
      <c r="AM5" s="495"/>
      <c r="AN5" s="495"/>
      <c r="AO5" s="495"/>
      <c r="AP5" s="495"/>
      <c r="AQ5" s="495"/>
    </row>
    <row r="6" spans="1:43" ht="12.75">
      <c r="A6" s="495" t="s">
        <v>350</v>
      </c>
      <c r="B6" s="495">
        <v>0.92</v>
      </c>
      <c r="C6" s="495">
        <v>0.92</v>
      </c>
      <c r="D6" s="495"/>
      <c r="E6" s="495"/>
      <c r="F6" s="495">
        <v>0.92</v>
      </c>
      <c r="G6" s="495">
        <v>0.92</v>
      </c>
      <c r="H6" s="495"/>
      <c r="I6" s="495"/>
      <c r="J6" s="495">
        <v>0.92</v>
      </c>
      <c r="K6" s="495">
        <v>0.92</v>
      </c>
      <c r="L6" s="495"/>
      <c r="M6" s="495"/>
      <c r="N6" s="495"/>
      <c r="O6" s="495"/>
      <c r="P6" s="495"/>
      <c r="Q6" s="495">
        <v>1</v>
      </c>
      <c r="R6" s="495">
        <v>1</v>
      </c>
      <c r="S6" s="495">
        <v>0.91</v>
      </c>
      <c r="T6" s="495">
        <v>0.91</v>
      </c>
      <c r="U6" s="495">
        <v>0.71</v>
      </c>
      <c r="V6" s="495">
        <v>0.71</v>
      </c>
      <c r="W6" s="495"/>
      <c r="X6" s="495"/>
      <c r="Y6" s="495"/>
      <c r="Z6" s="495"/>
      <c r="AA6" s="495">
        <v>1</v>
      </c>
      <c r="AB6" s="495"/>
      <c r="AC6" s="495">
        <v>1</v>
      </c>
      <c r="AD6" s="495">
        <v>1</v>
      </c>
      <c r="AE6" s="495"/>
      <c r="AF6" s="495"/>
      <c r="AG6" s="495">
        <v>1</v>
      </c>
      <c r="AH6" s="495">
        <v>1</v>
      </c>
      <c r="AI6" s="495"/>
      <c r="AJ6" s="495"/>
      <c r="AK6" s="495">
        <v>1</v>
      </c>
      <c r="AL6" s="495">
        <v>1</v>
      </c>
      <c r="AM6" s="495"/>
      <c r="AN6" s="495"/>
      <c r="AO6" s="495"/>
      <c r="AP6" s="495"/>
      <c r="AQ6" s="495"/>
    </row>
    <row r="7" spans="1:43" ht="12.75">
      <c r="A7" s="495" t="s">
        <v>351</v>
      </c>
      <c r="B7" s="495">
        <v>0.92</v>
      </c>
      <c r="C7" s="495">
        <v>0.92</v>
      </c>
      <c r="D7" s="495"/>
      <c r="E7" s="495"/>
      <c r="F7" s="495">
        <v>0.92</v>
      </c>
      <c r="G7" s="495">
        <v>0.92</v>
      </c>
      <c r="H7" s="495"/>
      <c r="I7" s="495"/>
      <c r="J7" s="495">
        <v>0.92</v>
      </c>
      <c r="K7" s="495">
        <v>0.92</v>
      </c>
      <c r="L7" s="495"/>
      <c r="M7" s="495"/>
      <c r="N7" s="495"/>
      <c r="O7" s="495"/>
      <c r="P7" s="495"/>
      <c r="Q7" s="495">
        <v>1</v>
      </c>
      <c r="R7" s="495">
        <v>1</v>
      </c>
      <c r="S7" s="495">
        <v>0.61</v>
      </c>
      <c r="T7" s="495">
        <v>0.91</v>
      </c>
      <c r="U7" s="495">
        <v>0.71</v>
      </c>
      <c r="V7" s="495">
        <v>0.71</v>
      </c>
      <c r="W7" s="495"/>
      <c r="X7" s="495"/>
      <c r="Y7" s="495"/>
      <c r="Z7" s="495"/>
      <c r="AA7" s="495">
        <v>1</v>
      </c>
      <c r="AB7" s="495"/>
      <c r="AC7" s="495">
        <v>1</v>
      </c>
      <c r="AD7" s="495">
        <v>1</v>
      </c>
      <c r="AE7" s="495"/>
      <c r="AF7" s="495"/>
      <c r="AG7" s="495">
        <v>1</v>
      </c>
      <c r="AH7" s="495">
        <v>1</v>
      </c>
      <c r="AI7" s="495"/>
      <c r="AJ7" s="495"/>
      <c r="AK7" s="495">
        <v>1</v>
      </c>
      <c r="AL7" s="495">
        <v>1</v>
      </c>
      <c r="AM7" s="495"/>
      <c r="AN7" s="495"/>
      <c r="AO7" s="495"/>
      <c r="AP7" s="495"/>
      <c r="AQ7" s="495"/>
    </row>
    <row r="8" spans="1:43" ht="12.75">
      <c r="A8" s="495" t="s">
        <v>352</v>
      </c>
      <c r="B8" s="495">
        <v>0.92</v>
      </c>
      <c r="C8" s="495">
        <v>0.92</v>
      </c>
      <c r="D8" s="495"/>
      <c r="E8" s="495"/>
      <c r="F8" s="495">
        <v>0.92</v>
      </c>
      <c r="G8" s="495">
        <v>0.92</v>
      </c>
      <c r="H8" s="495"/>
      <c r="I8" s="495"/>
      <c r="J8" s="495">
        <v>0.92</v>
      </c>
      <c r="K8" s="495">
        <v>0.92</v>
      </c>
      <c r="L8" s="495"/>
      <c r="M8" s="495"/>
      <c r="N8" s="495"/>
      <c r="O8" s="495"/>
      <c r="P8" s="495"/>
      <c r="Q8" s="495">
        <v>1</v>
      </c>
      <c r="R8" s="495">
        <v>1</v>
      </c>
      <c r="S8" s="495">
        <v>0.61</v>
      </c>
      <c r="T8" s="495">
        <v>1</v>
      </c>
      <c r="U8" s="495">
        <v>0.71</v>
      </c>
      <c r="V8" s="495">
        <v>0.71</v>
      </c>
      <c r="W8" s="495"/>
      <c r="X8" s="495"/>
      <c r="Y8" s="495"/>
      <c r="Z8" s="495"/>
      <c r="AA8" s="495">
        <v>1</v>
      </c>
      <c r="AB8" s="495"/>
      <c r="AC8" s="495">
        <v>1</v>
      </c>
      <c r="AD8" s="495">
        <v>1</v>
      </c>
      <c r="AE8" s="495"/>
      <c r="AF8" s="495"/>
      <c r="AG8" s="495">
        <v>1</v>
      </c>
      <c r="AH8" s="495">
        <v>1</v>
      </c>
      <c r="AI8" s="495"/>
      <c r="AJ8" s="495"/>
      <c r="AK8" s="495">
        <v>1</v>
      </c>
      <c r="AL8" s="495">
        <v>1</v>
      </c>
      <c r="AM8" s="495"/>
      <c r="AN8" s="495"/>
      <c r="AO8" s="495"/>
      <c r="AP8" s="495"/>
      <c r="AQ8" s="495"/>
    </row>
    <row r="9" spans="1:43" ht="12.75">
      <c r="A9" s="495" t="s">
        <v>353</v>
      </c>
      <c r="B9" s="495">
        <v>0.92</v>
      </c>
      <c r="C9" s="495">
        <v>0.92</v>
      </c>
      <c r="D9" s="495"/>
      <c r="E9" s="495"/>
      <c r="F9" s="495">
        <v>0.92</v>
      </c>
      <c r="G9" s="495">
        <v>0.92</v>
      </c>
      <c r="H9" s="495"/>
      <c r="I9" s="495"/>
      <c r="J9" s="495">
        <v>0.92</v>
      </c>
      <c r="K9" s="495">
        <v>0.92</v>
      </c>
      <c r="L9" s="495"/>
      <c r="M9" s="495"/>
      <c r="N9" s="495"/>
      <c r="O9" s="495"/>
      <c r="P9" s="495"/>
      <c r="Q9" s="495">
        <v>1</v>
      </c>
      <c r="R9" s="495">
        <v>1</v>
      </c>
      <c r="S9" s="495">
        <v>0.61</v>
      </c>
      <c r="T9" s="495">
        <v>0.91</v>
      </c>
      <c r="U9" s="495">
        <v>0.71</v>
      </c>
      <c r="V9" s="495">
        <v>0.7</v>
      </c>
      <c r="W9" s="495"/>
      <c r="X9" s="495"/>
      <c r="Y9" s="495"/>
      <c r="Z9" s="495"/>
      <c r="AA9" s="495">
        <v>1</v>
      </c>
      <c r="AB9" s="495"/>
      <c r="AC9" s="495">
        <v>1</v>
      </c>
      <c r="AD9" s="495">
        <v>1</v>
      </c>
      <c r="AE9" s="495"/>
      <c r="AF9" s="495"/>
      <c r="AG9" s="495">
        <v>1</v>
      </c>
      <c r="AH9" s="495">
        <v>1</v>
      </c>
      <c r="AI9" s="495"/>
      <c r="AJ9" s="495"/>
      <c r="AK9" s="495">
        <v>1</v>
      </c>
      <c r="AL9" s="495">
        <v>1</v>
      </c>
      <c r="AM9" s="495"/>
      <c r="AN9" s="495"/>
      <c r="AO9" s="495"/>
      <c r="AP9" s="495"/>
      <c r="AQ9" s="495"/>
    </row>
    <row r="10" spans="1:43" ht="12.75">
      <c r="A10" s="495" t="s">
        <v>354</v>
      </c>
      <c r="B10" s="495">
        <v>0.92</v>
      </c>
      <c r="C10" s="495">
        <v>0.92</v>
      </c>
      <c r="D10" s="495"/>
      <c r="E10" s="495"/>
      <c r="F10" s="495">
        <v>0.92</v>
      </c>
      <c r="G10" s="495">
        <v>0.92</v>
      </c>
      <c r="H10" s="495"/>
      <c r="I10" s="495"/>
      <c r="J10" s="495">
        <v>0.92</v>
      </c>
      <c r="K10" s="495">
        <v>0.92</v>
      </c>
      <c r="L10" s="495"/>
      <c r="M10" s="495"/>
      <c r="N10" s="495"/>
      <c r="O10" s="495"/>
      <c r="P10" s="495"/>
      <c r="Q10" s="495">
        <v>1</v>
      </c>
      <c r="R10" s="495">
        <v>1</v>
      </c>
      <c r="S10" s="495">
        <v>0.61</v>
      </c>
      <c r="T10" s="495">
        <v>1</v>
      </c>
      <c r="U10" s="495">
        <v>0.71</v>
      </c>
      <c r="V10" s="495">
        <v>0.71</v>
      </c>
      <c r="W10" s="495"/>
      <c r="X10" s="495"/>
      <c r="Y10" s="495"/>
      <c r="Z10" s="495"/>
      <c r="AA10" s="495">
        <v>1</v>
      </c>
      <c r="AB10" s="495"/>
      <c r="AC10" s="495">
        <v>1</v>
      </c>
      <c r="AD10" s="495">
        <v>1</v>
      </c>
      <c r="AE10" s="495"/>
      <c r="AF10" s="495"/>
      <c r="AG10" s="495">
        <v>1</v>
      </c>
      <c r="AH10" s="495">
        <v>1</v>
      </c>
      <c r="AI10" s="495"/>
      <c r="AJ10" s="495"/>
      <c r="AK10" s="495">
        <v>1</v>
      </c>
      <c r="AL10" s="495">
        <v>1</v>
      </c>
      <c r="AM10" s="495"/>
      <c r="AN10" s="495"/>
      <c r="AO10" s="495"/>
      <c r="AP10" s="495"/>
      <c r="AQ10" s="495"/>
    </row>
    <row r="11" spans="1:43" ht="12.75">
      <c r="A11" s="495" t="s">
        <v>355</v>
      </c>
      <c r="B11" s="495">
        <v>0.92</v>
      </c>
      <c r="C11" s="495">
        <v>0.92</v>
      </c>
      <c r="D11" s="495"/>
      <c r="E11" s="495"/>
      <c r="F11" s="495">
        <v>0.92</v>
      </c>
      <c r="G11" s="495">
        <v>0.92</v>
      </c>
      <c r="H11" s="495"/>
      <c r="I11" s="495"/>
      <c r="J11" s="495">
        <v>0.92</v>
      </c>
      <c r="K11" s="495">
        <v>0.92</v>
      </c>
      <c r="L11" s="495"/>
      <c r="M11" s="495"/>
      <c r="N11" s="495"/>
      <c r="O11" s="495"/>
      <c r="P11" s="495"/>
      <c r="Q11" s="495">
        <v>1</v>
      </c>
      <c r="R11" s="495">
        <v>1</v>
      </c>
      <c r="S11" s="495">
        <v>0.61</v>
      </c>
      <c r="T11" s="495">
        <v>1</v>
      </c>
      <c r="U11" s="495">
        <v>0.71</v>
      </c>
      <c r="V11" s="495">
        <v>0.71</v>
      </c>
      <c r="W11" s="495"/>
      <c r="X11" s="495"/>
      <c r="Y11" s="495"/>
      <c r="Z11" s="495"/>
      <c r="AA11" s="495">
        <v>1</v>
      </c>
      <c r="AB11" s="495"/>
      <c r="AC11" s="495">
        <v>1</v>
      </c>
      <c r="AD11" s="495">
        <v>1</v>
      </c>
      <c r="AE11" s="495"/>
      <c r="AF11" s="495"/>
      <c r="AG11" s="495">
        <v>1</v>
      </c>
      <c r="AH11" s="495">
        <v>1</v>
      </c>
      <c r="AI11" s="495"/>
      <c r="AJ11" s="495"/>
      <c r="AK11" s="495">
        <v>1</v>
      </c>
      <c r="AL11" s="495">
        <v>1</v>
      </c>
      <c r="AM11" s="495"/>
      <c r="AN11" s="495"/>
      <c r="AO11" s="495"/>
      <c r="AP11" s="495"/>
      <c r="AQ11" s="495"/>
    </row>
    <row r="12" spans="1:43" ht="12.75">
      <c r="A12" s="495" t="s">
        <v>356</v>
      </c>
      <c r="B12" s="495">
        <v>0.92</v>
      </c>
      <c r="C12" s="495">
        <v>0.92</v>
      </c>
      <c r="D12" s="495"/>
      <c r="E12" s="495"/>
      <c r="F12" s="495">
        <v>0.92</v>
      </c>
      <c r="G12" s="495">
        <v>0.92</v>
      </c>
      <c r="H12" s="495"/>
      <c r="I12" s="495"/>
      <c r="J12" s="495">
        <v>0.92</v>
      </c>
      <c r="K12" s="495">
        <v>0.92</v>
      </c>
      <c r="L12" s="495"/>
      <c r="M12" s="495"/>
      <c r="N12" s="495"/>
      <c r="O12" s="495"/>
      <c r="P12" s="495"/>
      <c r="Q12" s="495">
        <v>1</v>
      </c>
      <c r="R12" s="495">
        <v>1</v>
      </c>
      <c r="S12" s="495">
        <v>0.61</v>
      </c>
      <c r="T12" s="495">
        <v>1</v>
      </c>
      <c r="U12" s="495">
        <v>0.71</v>
      </c>
      <c r="V12" s="495">
        <v>0.71</v>
      </c>
      <c r="W12" s="495"/>
      <c r="X12" s="495"/>
      <c r="Y12" s="495"/>
      <c r="Z12" s="495"/>
      <c r="AA12" s="495">
        <v>1</v>
      </c>
      <c r="AB12" s="495"/>
      <c r="AC12" s="495">
        <v>1</v>
      </c>
      <c r="AD12" s="495">
        <v>1</v>
      </c>
      <c r="AE12" s="495"/>
      <c r="AF12" s="495"/>
      <c r="AG12" s="495">
        <v>1</v>
      </c>
      <c r="AH12" s="495">
        <v>1</v>
      </c>
      <c r="AI12" s="495"/>
      <c r="AJ12" s="495"/>
      <c r="AK12" s="495">
        <v>1</v>
      </c>
      <c r="AL12" s="495">
        <v>1</v>
      </c>
      <c r="AM12" s="495"/>
      <c r="AN12" s="495"/>
      <c r="AO12" s="495"/>
      <c r="AP12" s="495"/>
      <c r="AQ12" s="495"/>
    </row>
    <row r="13" spans="1:43" s="538" customFormat="1" ht="12.75">
      <c r="A13" s="537" t="s">
        <v>442</v>
      </c>
      <c r="B13" s="537"/>
      <c r="C13" s="537"/>
      <c r="D13" s="537"/>
      <c r="E13" s="537"/>
      <c r="F13" s="537"/>
      <c r="G13" s="537"/>
      <c r="H13" s="537"/>
      <c r="I13" s="537"/>
      <c r="J13" s="537"/>
      <c r="K13" s="537"/>
      <c r="L13" s="537"/>
      <c r="M13" s="537"/>
      <c r="N13" s="537"/>
      <c r="O13" s="537"/>
      <c r="P13" s="537"/>
      <c r="Q13" s="537">
        <v>1</v>
      </c>
      <c r="R13" s="537">
        <v>0.79</v>
      </c>
      <c r="S13" s="537"/>
      <c r="T13" s="537"/>
      <c r="U13" s="537"/>
      <c r="V13" s="537">
        <v>1</v>
      </c>
      <c r="W13" s="537"/>
      <c r="X13" s="537"/>
      <c r="Y13" s="537"/>
      <c r="Z13" s="537"/>
      <c r="AA13" s="537">
        <v>1</v>
      </c>
      <c r="AB13" s="537"/>
      <c r="AC13" s="537">
        <v>1</v>
      </c>
      <c r="AD13" s="537">
        <v>1</v>
      </c>
      <c r="AE13" s="537"/>
      <c r="AF13" s="537"/>
      <c r="AG13" s="537">
        <v>1</v>
      </c>
      <c r="AH13" s="537">
        <v>1</v>
      </c>
      <c r="AI13" s="537"/>
      <c r="AJ13" s="537"/>
      <c r="AK13" s="537">
        <v>1</v>
      </c>
      <c r="AL13" s="537">
        <v>1</v>
      </c>
      <c r="AM13" s="537"/>
      <c r="AN13" s="537"/>
      <c r="AO13" s="537"/>
      <c r="AP13" s="537"/>
      <c r="AQ13" s="537"/>
    </row>
    <row r="14" spans="1:43" ht="12.75">
      <c r="A14" s="523" t="s">
        <v>443</v>
      </c>
      <c r="B14" s="523"/>
      <c r="C14" s="523"/>
      <c r="D14" s="523"/>
      <c r="E14" s="523"/>
      <c r="F14" s="523"/>
      <c r="G14" s="523"/>
      <c r="H14" s="523"/>
      <c r="I14" s="523"/>
      <c r="J14" s="523"/>
      <c r="K14" s="523"/>
      <c r="L14" s="523"/>
      <c r="M14" s="523"/>
      <c r="N14" s="523"/>
      <c r="O14" s="523"/>
      <c r="P14" s="523"/>
      <c r="Q14" s="523">
        <v>0.77</v>
      </c>
      <c r="R14" s="523">
        <v>1</v>
      </c>
      <c r="S14" s="523"/>
      <c r="T14" s="523"/>
      <c r="U14" s="523"/>
      <c r="V14" s="523">
        <v>0.86</v>
      </c>
      <c r="W14" s="523"/>
      <c r="X14" s="523"/>
      <c r="Y14" s="523"/>
      <c r="Z14" s="523"/>
      <c r="AA14" s="523">
        <v>1</v>
      </c>
      <c r="AB14" s="523"/>
      <c r="AC14" s="523">
        <v>1</v>
      </c>
      <c r="AD14" s="523">
        <v>1</v>
      </c>
      <c r="AE14" s="523"/>
      <c r="AF14" s="523"/>
      <c r="AG14" s="523">
        <v>1</v>
      </c>
      <c r="AH14" s="523">
        <v>1</v>
      </c>
      <c r="AI14" s="523"/>
      <c r="AJ14" s="523"/>
      <c r="AK14" s="523">
        <v>1</v>
      </c>
      <c r="AL14" s="523">
        <v>1</v>
      </c>
      <c r="AM14" s="523"/>
      <c r="AN14" s="523"/>
      <c r="AO14" s="523"/>
      <c r="AP14" s="523"/>
      <c r="AQ14" s="523"/>
    </row>
    <row r="15" spans="1:43" ht="12.75">
      <c r="A15" s="523" t="s">
        <v>444</v>
      </c>
      <c r="B15" s="523"/>
      <c r="C15" s="523"/>
      <c r="D15" s="523"/>
      <c r="E15" s="523"/>
      <c r="F15" s="523"/>
      <c r="G15" s="523"/>
      <c r="H15" s="523"/>
      <c r="I15" s="523"/>
      <c r="J15" s="523"/>
      <c r="K15" s="523"/>
      <c r="L15" s="523"/>
      <c r="M15" s="523"/>
      <c r="N15" s="523"/>
      <c r="O15" s="523"/>
      <c r="P15" s="523"/>
      <c r="Q15" s="523">
        <v>0.79</v>
      </c>
      <c r="R15" s="523">
        <v>1</v>
      </c>
      <c r="S15" s="523"/>
      <c r="T15" s="523"/>
      <c r="U15" s="523"/>
      <c r="V15" s="523">
        <v>1</v>
      </c>
      <c r="W15" s="523"/>
      <c r="X15" s="523"/>
      <c r="Y15" s="523"/>
      <c r="Z15" s="523"/>
      <c r="AA15" s="523">
        <v>1</v>
      </c>
      <c r="AB15" s="523"/>
      <c r="AC15" s="523">
        <v>0.87</v>
      </c>
      <c r="AD15" s="523">
        <v>0.87</v>
      </c>
      <c r="AE15" s="523"/>
      <c r="AF15" s="523"/>
      <c r="AG15" s="523">
        <v>1</v>
      </c>
      <c r="AH15" s="523">
        <v>0.87</v>
      </c>
      <c r="AI15" s="523"/>
      <c r="AJ15" s="523"/>
      <c r="AK15" s="523">
        <v>1</v>
      </c>
      <c r="AL15" s="523">
        <v>1</v>
      </c>
      <c r="AM15" s="523"/>
      <c r="AN15" s="523"/>
      <c r="AO15" s="523"/>
      <c r="AP15" s="523"/>
      <c r="AQ15" s="523"/>
    </row>
    <row r="16" spans="1:43" ht="12.75">
      <c r="A16" s="523" t="s">
        <v>445</v>
      </c>
      <c r="B16" s="523"/>
      <c r="C16" s="523"/>
      <c r="D16" s="523"/>
      <c r="E16" s="523"/>
      <c r="F16" s="523"/>
      <c r="G16" s="523"/>
      <c r="H16" s="523"/>
      <c r="I16" s="523"/>
      <c r="J16" s="523"/>
      <c r="K16" s="523"/>
      <c r="L16" s="523"/>
      <c r="M16" s="523"/>
      <c r="N16" s="523"/>
      <c r="O16" s="523"/>
      <c r="P16" s="523"/>
      <c r="Q16" s="523">
        <v>0.79</v>
      </c>
      <c r="R16" s="523">
        <v>1</v>
      </c>
      <c r="S16" s="523"/>
      <c r="T16" s="523"/>
      <c r="U16" s="523"/>
      <c r="V16" s="523">
        <v>0.86</v>
      </c>
      <c r="W16" s="523"/>
      <c r="X16" s="523"/>
      <c r="Y16" s="523"/>
      <c r="Z16" s="523"/>
      <c r="AA16" s="523">
        <v>1</v>
      </c>
      <c r="AB16" s="523"/>
      <c r="AC16" s="523">
        <v>1</v>
      </c>
      <c r="AD16" s="523">
        <v>1</v>
      </c>
      <c r="AE16" s="523"/>
      <c r="AF16" s="523"/>
      <c r="AG16" s="523">
        <v>1</v>
      </c>
      <c r="AH16" s="523">
        <v>1</v>
      </c>
      <c r="AI16" s="523"/>
      <c r="AJ16" s="523"/>
      <c r="AK16" s="523">
        <v>1</v>
      </c>
      <c r="AL16" s="523">
        <v>1</v>
      </c>
      <c r="AM16" s="523"/>
      <c r="AN16" s="523"/>
      <c r="AO16" s="523"/>
      <c r="AP16" s="523"/>
      <c r="AQ16" s="523"/>
    </row>
    <row r="17" spans="1:43" ht="12.75">
      <c r="A17" s="523" t="s">
        <v>446</v>
      </c>
      <c r="B17" s="523"/>
      <c r="C17" s="523"/>
      <c r="D17" s="523"/>
      <c r="E17" s="523"/>
      <c r="F17" s="523"/>
      <c r="G17" s="523"/>
      <c r="H17" s="523"/>
      <c r="I17" s="523"/>
      <c r="J17" s="523"/>
      <c r="K17" s="523"/>
      <c r="L17" s="523"/>
      <c r="M17" s="523"/>
      <c r="N17" s="523"/>
      <c r="O17" s="523"/>
      <c r="P17" s="523"/>
      <c r="Q17" s="523">
        <v>0.79</v>
      </c>
      <c r="R17" s="523">
        <v>1</v>
      </c>
      <c r="S17" s="523"/>
      <c r="T17" s="523"/>
      <c r="U17" s="523"/>
      <c r="V17" s="523">
        <v>1</v>
      </c>
      <c r="W17" s="523"/>
      <c r="X17" s="523"/>
      <c r="Y17" s="523"/>
      <c r="Z17" s="523"/>
      <c r="AA17" s="523">
        <v>1</v>
      </c>
      <c r="AB17" s="523"/>
      <c r="AC17" s="523">
        <v>1</v>
      </c>
      <c r="AD17" s="523">
        <v>1</v>
      </c>
      <c r="AE17" s="523"/>
      <c r="AF17" s="523"/>
      <c r="AG17" s="523">
        <v>1</v>
      </c>
      <c r="AH17" s="523">
        <v>1</v>
      </c>
      <c r="AI17" s="523"/>
      <c r="AJ17" s="523"/>
      <c r="AK17" s="523">
        <v>1</v>
      </c>
      <c r="AL17" s="523">
        <v>1</v>
      </c>
      <c r="AM17" s="523"/>
      <c r="AN17" s="523"/>
      <c r="AO17" s="523"/>
      <c r="AP17" s="523"/>
      <c r="AQ17" s="523"/>
    </row>
    <row r="18" spans="1:43" ht="12.75">
      <c r="A18" s="523" t="s">
        <v>447</v>
      </c>
      <c r="B18" s="523"/>
      <c r="C18" s="523"/>
      <c r="D18" s="523"/>
      <c r="E18" s="523"/>
      <c r="F18" s="523"/>
      <c r="G18" s="523"/>
      <c r="H18" s="523"/>
      <c r="I18" s="523"/>
      <c r="J18" s="523"/>
      <c r="K18" s="523"/>
      <c r="L18" s="523"/>
      <c r="M18" s="523"/>
      <c r="N18" s="523"/>
      <c r="O18" s="523"/>
      <c r="P18" s="523"/>
      <c r="Q18" s="523">
        <v>0.79</v>
      </c>
      <c r="R18" s="523">
        <v>1</v>
      </c>
      <c r="S18" s="523"/>
      <c r="T18" s="523"/>
      <c r="U18" s="523"/>
      <c r="V18" s="523">
        <v>1</v>
      </c>
      <c r="W18" s="523"/>
      <c r="X18" s="523"/>
      <c r="Y18" s="523"/>
      <c r="Z18" s="523"/>
      <c r="AA18" s="523">
        <v>1</v>
      </c>
      <c r="AB18" s="523"/>
      <c r="AC18" s="523">
        <v>1</v>
      </c>
      <c r="AD18" s="523">
        <v>1</v>
      </c>
      <c r="AE18" s="523"/>
      <c r="AF18" s="523"/>
      <c r="AG18" s="523">
        <v>1</v>
      </c>
      <c r="AH18" s="523">
        <v>1</v>
      </c>
      <c r="AI18" s="523"/>
      <c r="AJ18" s="523"/>
      <c r="AK18" s="523">
        <v>1</v>
      </c>
      <c r="AL18" s="523">
        <v>1</v>
      </c>
      <c r="AM18" s="523"/>
      <c r="AN18" s="523"/>
      <c r="AO18" s="523"/>
      <c r="AP18" s="523"/>
      <c r="AQ18" s="523"/>
    </row>
    <row r="19" spans="1:43" s="538" customFormat="1" ht="12.75">
      <c r="A19" s="537" t="s">
        <v>448</v>
      </c>
      <c r="B19" s="537"/>
      <c r="C19" s="537"/>
      <c r="D19" s="537"/>
      <c r="E19" s="537"/>
      <c r="F19" s="537"/>
      <c r="G19" s="537"/>
      <c r="H19" s="537"/>
      <c r="I19" s="537"/>
      <c r="J19" s="537"/>
      <c r="K19" s="537"/>
      <c r="L19" s="537"/>
      <c r="M19" s="537"/>
      <c r="N19" s="537"/>
      <c r="O19" s="537"/>
      <c r="P19" s="537"/>
      <c r="Q19" s="537">
        <v>1</v>
      </c>
      <c r="R19" s="537">
        <v>0.79</v>
      </c>
      <c r="S19" s="537"/>
      <c r="T19" s="537"/>
      <c r="U19" s="537"/>
      <c r="V19" s="537">
        <v>1</v>
      </c>
      <c r="W19" s="537"/>
      <c r="X19" s="537"/>
      <c r="Y19" s="537"/>
      <c r="Z19" s="537"/>
      <c r="AA19" s="537">
        <v>1</v>
      </c>
      <c r="AB19" s="537"/>
      <c r="AC19" s="537">
        <v>0.87</v>
      </c>
      <c r="AD19" s="537">
        <v>0.87</v>
      </c>
      <c r="AE19" s="537"/>
      <c r="AF19" s="537"/>
      <c r="AG19" s="537">
        <v>0.87</v>
      </c>
      <c r="AH19" s="537">
        <v>0.87</v>
      </c>
      <c r="AI19" s="537"/>
      <c r="AJ19" s="537"/>
      <c r="AK19" s="537">
        <v>0.87</v>
      </c>
      <c r="AL19" s="537">
        <v>0.87</v>
      </c>
      <c r="AM19" s="537"/>
      <c r="AN19" s="537"/>
      <c r="AO19" s="537"/>
      <c r="AP19" s="537"/>
      <c r="AQ19" s="537"/>
    </row>
    <row r="20" spans="1:43" ht="12.75">
      <c r="A20" s="523" t="s">
        <v>449</v>
      </c>
      <c r="B20" s="523"/>
      <c r="C20" s="523"/>
      <c r="D20" s="523"/>
      <c r="E20" s="523"/>
      <c r="F20" s="523"/>
      <c r="G20" s="523"/>
      <c r="H20" s="523"/>
      <c r="I20" s="523"/>
      <c r="J20" s="523"/>
      <c r="K20" s="523"/>
      <c r="L20" s="523"/>
      <c r="M20" s="523"/>
      <c r="N20" s="523"/>
      <c r="O20" s="523"/>
      <c r="P20" s="523"/>
      <c r="Q20" s="523">
        <v>1</v>
      </c>
      <c r="R20" s="523">
        <v>0.79</v>
      </c>
      <c r="S20" s="523"/>
      <c r="T20" s="523"/>
      <c r="U20" s="523"/>
      <c r="V20" s="523">
        <v>1</v>
      </c>
      <c r="W20" s="523"/>
      <c r="X20" s="523"/>
      <c r="Y20" s="523"/>
      <c r="Z20" s="523"/>
      <c r="AA20" s="523">
        <v>1</v>
      </c>
      <c r="AB20" s="523"/>
      <c r="AC20" s="523">
        <v>0.87</v>
      </c>
      <c r="AD20" s="523">
        <v>0.87</v>
      </c>
      <c r="AE20" s="523"/>
      <c r="AF20" s="523"/>
      <c r="AG20" s="523">
        <v>0.87</v>
      </c>
      <c r="AH20" s="523">
        <v>0.87</v>
      </c>
      <c r="AI20" s="523"/>
      <c r="AJ20" s="523"/>
      <c r="AK20" s="523">
        <v>0.87</v>
      </c>
      <c r="AL20" s="523">
        <v>0.87</v>
      </c>
      <c r="AM20" s="523"/>
      <c r="AN20" s="523"/>
      <c r="AO20" s="523"/>
      <c r="AP20" s="523"/>
      <c r="AQ20" s="523"/>
    </row>
    <row r="21" spans="1:43" ht="12.75">
      <c r="A21" s="523" t="s">
        <v>450</v>
      </c>
      <c r="B21" s="523"/>
      <c r="C21" s="523"/>
      <c r="D21" s="523"/>
      <c r="E21" s="523"/>
      <c r="F21" s="523"/>
      <c r="G21" s="523"/>
      <c r="H21" s="523"/>
      <c r="I21" s="523"/>
      <c r="J21" s="523"/>
      <c r="K21" s="523"/>
      <c r="L21" s="523"/>
      <c r="M21" s="523"/>
      <c r="N21" s="523"/>
      <c r="O21" s="523"/>
      <c r="P21" s="523"/>
      <c r="Q21" s="523">
        <v>1</v>
      </c>
      <c r="R21" s="523">
        <v>0.79</v>
      </c>
      <c r="S21" s="523"/>
      <c r="T21" s="523"/>
      <c r="U21" s="523"/>
      <c r="V21" s="523">
        <v>1</v>
      </c>
      <c r="W21" s="523"/>
      <c r="X21" s="523"/>
      <c r="Y21" s="523"/>
      <c r="Z21" s="523"/>
      <c r="AA21" s="523">
        <v>1</v>
      </c>
      <c r="AB21" s="523"/>
      <c r="AC21" s="523">
        <v>0.87</v>
      </c>
      <c r="AD21" s="523">
        <v>0.87</v>
      </c>
      <c r="AE21" s="523"/>
      <c r="AF21" s="523"/>
      <c r="AG21" s="523">
        <v>1</v>
      </c>
      <c r="AH21" s="523">
        <v>1</v>
      </c>
      <c r="AI21" s="523"/>
      <c r="AJ21" s="523"/>
      <c r="AK21" s="523">
        <v>0.87</v>
      </c>
      <c r="AL21" s="523">
        <v>0.87</v>
      </c>
      <c r="AM21" s="523"/>
      <c r="AN21" s="523"/>
      <c r="AO21" s="523"/>
      <c r="AP21" s="523"/>
      <c r="AQ21" s="523"/>
    </row>
    <row r="22" spans="1:43" ht="12.75">
      <c r="A22" s="523" t="s">
        <v>451</v>
      </c>
      <c r="B22" s="523"/>
      <c r="C22" s="523"/>
      <c r="D22" s="523"/>
      <c r="E22" s="523"/>
      <c r="F22" s="523"/>
      <c r="G22" s="523"/>
      <c r="H22" s="523"/>
      <c r="I22" s="523"/>
      <c r="J22" s="523"/>
      <c r="K22" s="523"/>
      <c r="L22" s="523"/>
      <c r="M22" s="523"/>
      <c r="N22" s="523"/>
      <c r="O22" s="523"/>
      <c r="P22" s="523"/>
      <c r="Q22" s="523">
        <v>1</v>
      </c>
      <c r="R22" s="523">
        <v>0.79</v>
      </c>
      <c r="S22" s="523"/>
      <c r="T22" s="523"/>
      <c r="U22" s="523"/>
      <c r="V22" s="523">
        <v>1</v>
      </c>
      <c r="W22" s="523"/>
      <c r="X22" s="523"/>
      <c r="Y22" s="523"/>
      <c r="Z22" s="523"/>
      <c r="AA22" s="523">
        <v>1</v>
      </c>
      <c r="AB22" s="523"/>
      <c r="AC22" s="523">
        <v>0.87</v>
      </c>
      <c r="AD22" s="523">
        <v>1</v>
      </c>
      <c r="AE22" s="523"/>
      <c r="AF22" s="523"/>
      <c r="AG22" s="523">
        <v>1</v>
      </c>
      <c r="AH22" s="523">
        <v>0.87</v>
      </c>
      <c r="AI22" s="523"/>
      <c r="AJ22" s="523"/>
      <c r="AK22" s="523">
        <v>0.87</v>
      </c>
      <c r="AL22" s="523">
        <v>0.87</v>
      </c>
      <c r="AM22" s="523"/>
      <c r="AN22" s="523"/>
      <c r="AO22" s="523"/>
      <c r="AP22" s="523"/>
      <c r="AQ22" s="523"/>
    </row>
    <row r="23" spans="1:43" ht="12.75">
      <c r="A23" s="523" t="s">
        <v>452</v>
      </c>
      <c r="B23" s="523"/>
      <c r="C23" s="523"/>
      <c r="D23" s="523"/>
      <c r="E23" s="523"/>
      <c r="F23" s="523"/>
      <c r="G23" s="523"/>
      <c r="H23" s="523"/>
      <c r="I23" s="523"/>
      <c r="J23" s="523"/>
      <c r="K23" s="523"/>
      <c r="L23" s="523"/>
      <c r="M23" s="523"/>
      <c r="N23" s="523"/>
      <c r="O23" s="523"/>
      <c r="P23" s="523"/>
      <c r="Q23" s="523">
        <v>1</v>
      </c>
      <c r="R23" s="523">
        <v>0.79</v>
      </c>
      <c r="S23" s="523"/>
      <c r="T23" s="523"/>
      <c r="U23" s="523"/>
      <c r="V23" s="523">
        <v>1</v>
      </c>
      <c r="W23" s="523"/>
      <c r="X23" s="523"/>
      <c r="Y23" s="523"/>
      <c r="Z23" s="523"/>
      <c r="AA23" s="523">
        <v>1</v>
      </c>
      <c r="AB23" s="523"/>
      <c r="AC23" s="523">
        <v>0.87</v>
      </c>
      <c r="AD23" s="523">
        <v>0.87</v>
      </c>
      <c r="AE23" s="523"/>
      <c r="AF23" s="523"/>
      <c r="AG23" s="523">
        <v>0.87</v>
      </c>
      <c r="AH23" s="523">
        <v>0.87</v>
      </c>
      <c r="AI23" s="523"/>
      <c r="AJ23" s="523"/>
      <c r="AK23" s="523">
        <v>0.87</v>
      </c>
      <c r="AL23" s="523">
        <v>0.87</v>
      </c>
      <c r="AM23" s="523"/>
      <c r="AN23" s="523"/>
      <c r="AO23" s="523"/>
      <c r="AP23" s="523"/>
      <c r="AQ23" s="523"/>
    </row>
    <row r="24" spans="1:43" ht="12.75">
      <c r="A24" s="523" t="s">
        <v>453</v>
      </c>
      <c r="B24" s="523"/>
      <c r="C24" s="523"/>
      <c r="D24" s="523"/>
      <c r="E24" s="523"/>
      <c r="F24" s="523"/>
      <c r="G24" s="523"/>
      <c r="H24" s="523"/>
      <c r="I24" s="523"/>
      <c r="J24" s="523"/>
      <c r="K24" s="523"/>
      <c r="L24" s="523"/>
      <c r="M24" s="523"/>
      <c r="N24" s="523"/>
      <c r="O24" s="523"/>
      <c r="P24" s="523"/>
      <c r="Q24" s="523">
        <v>1</v>
      </c>
      <c r="R24" s="523">
        <v>0.79</v>
      </c>
      <c r="S24" s="523"/>
      <c r="T24" s="523"/>
      <c r="U24" s="523"/>
      <c r="V24" s="523">
        <v>1</v>
      </c>
      <c r="W24" s="523"/>
      <c r="X24" s="523"/>
      <c r="Y24" s="523"/>
      <c r="Z24" s="523"/>
      <c r="AA24" s="523">
        <v>1</v>
      </c>
      <c r="AB24" s="523"/>
      <c r="AC24" s="523">
        <v>0.87</v>
      </c>
      <c r="AD24" s="523">
        <v>0.87</v>
      </c>
      <c r="AE24" s="523"/>
      <c r="AF24" s="523"/>
      <c r="AG24" s="523">
        <v>0.87</v>
      </c>
      <c r="AH24" s="523">
        <v>0.87</v>
      </c>
      <c r="AI24" s="523"/>
      <c r="AJ24" s="523"/>
      <c r="AK24" s="523">
        <v>0.87</v>
      </c>
      <c r="AL24" s="523">
        <v>0.87</v>
      </c>
      <c r="AM24" s="523"/>
      <c r="AN24" s="523"/>
      <c r="AO24" s="523"/>
      <c r="AP24" s="523"/>
      <c r="AQ24" s="523"/>
    </row>
    <row r="25" spans="1:43" ht="12.75">
      <c r="A25" s="523" t="s">
        <v>454</v>
      </c>
      <c r="B25" s="523"/>
      <c r="C25" s="523"/>
      <c r="D25" s="523"/>
      <c r="E25" s="523"/>
      <c r="F25" s="523"/>
      <c r="G25" s="523"/>
      <c r="H25" s="523"/>
      <c r="I25" s="523"/>
      <c r="J25" s="523"/>
      <c r="K25" s="523"/>
      <c r="L25" s="523"/>
      <c r="M25" s="523"/>
      <c r="N25" s="523"/>
      <c r="O25" s="523"/>
      <c r="P25" s="523"/>
      <c r="Q25" s="523">
        <v>0.77</v>
      </c>
      <c r="R25" s="523">
        <v>1</v>
      </c>
      <c r="S25" s="523"/>
      <c r="T25" s="523"/>
      <c r="U25" s="523"/>
      <c r="V25" s="523">
        <v>1</v>
      </c>
      <c r="W25" s="523"/>
      <c r="X25" s="523"/>
      <c r="Y25" s="523"/>
      <c r="Z25" s="523"/>
      <c r="AA25" s="523">
        <v>1</v>
      </c>
      <c r="AB25" s="523"/>
      <c r="AC25" s="523">
        <v>0.87</v>
      </c>
      <c r="AD25" s="523">
        <v>0.87</v>
      </c>
      <c r="AE25" s="523"/>
      <c r="AF25" s="523"/>
      <c r="AG25" s="523">
        <v>1</v>
      </c>
      <c r="AH25" s="523">
        <v>1</v>
      </c>
      <c r="AI25" s="523"/>
      <c r="AJ25" s="523"/>
      <c r="AK25" s="523">
        <v>0.87</v>
      </c>
      <c r="AL25" s="523">
        <v>0.87</v>
      </c>
      <c r="AM25" s="523"/>
      <c r="AN25" s="523"/>
      <c r="AO25" s="523"/>
      <c r="AP25" s="523"/>
      <c r="AQ25" s="523"/>
    </row>
    <row r="26" spans="1:43" ht="12.75">
      <c r="A26" s="523" t="s">
        <v>455</v>
      </c>
      <c r="B26" s="523"/>
      <c r="C26" s="523"/>
      <c r="D26" s="523"/>
      <c r="E26" s="523"/>
      <c r="F26" s="523"/>
      <c r="G26" s="523"/>
      <c r="H26" s="523"/>
      <c r="I26" s="523"/>
      <c r="J26" s="523"/>
      <c r="K26" s="523"/>
      <c r="L26" s="523"/>
      <c r="M26" s="523"/>
      <c r="N26" s="523"/>
      <c r="O26" s="523"/>
      <c r="P26" s="523"/>
      <c r="Q26" s="523">
        <v>0.79</v>
      </c>
      <c r="R26" s="523">
        <v>1</v>
      </c>
      <c r="S26" s="523"/>
      <c r="T26" s="523"/>
      <c r="U26" s="523"/>
      <c r="V26" s="523">
        <v>1</v>
      </c>
      <c r="W26" s="523"/>
      <c r="X26" s="523"/>
      <c r="Y26" s="523"/>
      <c r="Z26" s="523"/>
      <c r="AA26" s="523">
        <v>1</v>
      </c>
      <c r="AB26" s="523"/>
      <c r="AC26" s="523">
        <v>0.87</v>
      </c>
      <c r="AD26" s="523">
        <v>0.87</v>
      </c>
      <c r="AE26" s="523"/>
      <c r="AF26" s="523"/>
      <c r="AG26" s="523">
        <v>0.87</v>
      </c>
      <c r="AH26" s="523">
        <v>0.87</v>
      </c>
      <c r="AI26" s="523"/>
      <c r="AJ26" s="523"/>
      <c r="AK26" s="523">
        <v>0.87</v>
      </c>
      <c r="AL26" s="523">
        <v>0.87</v>
      </c>
      <c r="AM26" s="523"/>
      <c r="AN26" s="523"/>
      <c r="AO26" s="523"/>
      <c r="AP26" s="523"/>
      <c r="AQ26" s="523"/>
    </row>
    <row r="27" spans="1:43" ht="12.75">
      <c r="A27" s="523" t="s">
        <v>456</v>
      </c>
      <c r="B27" s="523"/>
      <c r="C27" s="523"/>
      <c r="D27" s="523"/>
      <c r="E27" s="523"/>
      <c r="F27" s="523"/>
      <c r="G27" s="523"/>
      <c r="H27" s="523"/>
      <c r="I27" s="523"/>
      <c r="J27" s="523"/>
      <c r="K27" s="523"/>
      <c r="L27" s="523"/>
      <c r="M27" s="523"/>
      <c r="N27" s="523"/>
      <c r="O27" s="523"/>
      <c r="P27" s="523"/>
      <c r="Q27" s="523">
        <v>0.77</v>
      </c>
      <c r="R27" s="523">
        <v>1</v>
      </c>
      <c r="S27" s="523"/>
      <c r="T27" s="523"/>
      <c r="U27" s="523"/>
      <c r="V27" s="523">
        <v>1</v>
      </c>
      <c r="W27" s="523"/>
      <c r="X27" s="523"/>
      <c r="Y27" s="523"/>
      <c r="Z27" s="523"/>
      <c r="AA27" s="523">
        <v>1</v>
      </c>
      <c r="AB27" s="523"/>
      <c r="AC27" s="523">
        <v>0.87</v>
      </c>
      <c r="AD27" s="523">
        <v>0.87</v>
      </c>
      <c r="AE27" s="523"/>
      <c r="AF27" s="523"/>
      <c r="AG27" s="523">
        <v>0.87</v>
      </c>
      <c r="AH27" s="523">
        <v>0.87</v>
      </c>
      <c r="AI27" s="523"/>
      <c r="AJ27" s="523"/>
      <c r="AK27" s="523">
        <v>0.87</v>
      </c>
      <c r="AL27" s="523">
        <v>0.87</v>
      </c>
      <c r="AM27" s="523"/>
      <c r="AN27" s="523"/>
      <c r="AO27" s="523"/>
      <c r="AP27" s="523"/>
      <c r="AQ27" s="523"/>
    </row>
    <row r="28" spans="1:43" ht="12.75">
      <c r="A28" s="523" t="s">
        <v>457</v>
      </c>
      <c r="B28" s="523"/>
      <c r="C28" s="523"/>
      <c r="D28" s="523"/>
      <c r="E28" s="523"/>
      <c r="F28" s="523"/>
      <c r="G28" s="523"/>
      <c r="H28" s="523"/>
      <c r="I28" s="523"/>
      <c r="J28" s="523"/>
      <c r="K28" s="523"/>
      <c r="L28" s="523"/>
      <c r="M28" s="523"/>
      <c r="N28" s="523"/>
      <c r="O28" s="523"/>
      <c r="P28" s="523"/>
      <c r="Q28" s="523">
        <v>1</v>
      </c>
      <c r="R28" s="523">
        <v>0.79</v>
      </c>
      <c r="S28" s="523"/>
      <c r="T28" s="523"/>
      <c r="U28" s="523"/>
      <c r="V28" s="523">
        <v>1</v>
      </c>
      <c r="W28" s="523"/>
      <c r="X28" s="523"/>
      <c r="Y28" s="523"/>
      <c r="Z28" s="523"/>
      <c r="AA28" s="523">
        <v>1</v>
      </c>
      <c r="AB28" s="523"/>
      <c r="AC28" s="523">
        <v>0.87</v>
      </c>
      <c r="AD28" s="523">
        <v>0.87</v>
      </c>
      <c r="AE28" s="523"/>
      <c r="AF28" s="523"/>
      <c r="AG28" s="523">
        <v>1</v>
      </c>
      <c r="AH28" s="523">
        <v>1</v>
      </c>
      <c r="AI28" s="523"/>
      <c r="AJ28" s="523"/>
      <c r="AK28" s="523">
        <v>0.87</v>
      </c>
      <c r="AL28" s="523">
        <v>0.87</v>
      </c>
      <c r="AM28" s="523"/>
      <c r="AN28" s="523"/>
      <c r="AO28" s="523"/>
      <c r="AP28" s="523"/>
      <c r="AQ28" s="523"/>
    </row>
    <row r="29" spans="1:43" ht="12.75">
      <c r="A29" s="523" t="s">
        <v>458</v>
      </c>
      <c r="B29" s="523"/>
      <c r="C29" s="523"/>
      <c r="D29" s="523"/>
      <c r="E29" s="523"/>
      <c r="F29" s="523"/>
      <c r="G29" s="523"/>
      <c r="H29" s="523"/>
      <c r="I29" s="523"/>
      <c r="J29" s="523"/>
      <c r="K29" s="523"/>
      <c r="L29" s="523"/>
      <c r="M29" s="523"/>
      <c r="N29" s="523"/>
      <c r="O29" s="523"/>
      <c r="P29" s="523"/>
      <c r="Q29" s="523">
        <v>1</v>
      </c>
      <c r="R29" s="523">
        <v>0.79</v>
      </c>
      <c r="S29" s="523"/>
      <c r="T29" s="523"/>
      <c r="U29" s="523"/>
      <c r="V29" s="523">
        <v>1</v>
      </c>
      <c r="W29" s="523"/>
      <c r="X29" s="523"/>
      <c r="Y29" s="523"/>
      <c r="Z29" s="523"/>
      <c r="AA29" s="523">
        <v>1</v>
      </c>
      <c r="AB29" s="523"/>
      <c r="AC29" s="523">
        <v>1</v>
      </c>
      <c r="AD29" s="523">
        <v>1</v>
      </c>
      <c r="AE29" s="523"/>
      <c r="AF29" s="523"/>
      <c r="AG29" s="523">
        <v>1</v>
      </c>
      <c r="AH29" s="523">
        <v>1</v>
      </c>
      <c r="AI29" s="523"/>
      <c r="AJ29" s="523"/>
      <c r="AK29" s="523">
        <v>0.87</v>
      </c>
      <c r="AL29" s="523">
        <v>1</v>
      </c>
      <c r="AM29" s="523"/>
      <c r="AN29" s="523"/>
      <c r="AO29" s="523"/>
      <c r="AP29" s="523"/>
      <c r="AQ29" s="523"/>
    </row>
    <row r="30" spans="1:43" ht="12.75">
      <c r="A30" s="523" t="s">
        <v>459</v>
      </c>
      <c r="B30" s="523"/>
      <c r="C30" s="523"/>
      <c r="D30" s="523"/>
      <c r="E30" s="523"/>
      <c r="F30" s="523"/>
      <c r="G30" s="523"/>
      <c r="H30" s="523"/>
      <c r="I30" s="523"/>
      <c r="J30" s="523"/>
      <c r="K30" s="523"/>
      <c r="L30" s="523"/>
      <c r="M30" s="523"/>
      <c r="N30" s="523"/>
      <c r="O30" s="523"/>
      <c r="P30" s="523"/>
      <c r="Q30" s="523">
        <v>1</v>
      </c>
      <c r="R30" s="523">
        <v>0.79</v>
      </c>
      <c r="S30" s="523"/>
      <c r="T30" s="523"/>
      <c r="U30" s="523"/>
      <c r="V30" s="523">
        <v>1</v>
      </c>
      <c r="W30" s="523"/>
      <c r="X30" s="523"/>
      <c r="Y30" s="523"/>
      <c r="Z30" s="523"/>
      <c r="AA30" s="523">
        <v>1</v>
      </c>
      <c r="AB30" s="523"/>
      <c r="AC30" s="523">
        <v>0.87</v>
      </c>
      <c r="AD30" s="523">
        <v>0.87</v>
      </c>
      <c r="AE30" s="523"/>
      <c r="AF30" s="523"/>
      <c r="AG30" s="523">
        <v>1</v>
      </c>
      <c r="AH30" s="523">
        <v>1</v>
      </c>
      <c r="AI30" s="523"/>
      <c r="AJ30" s="523"/>
      <c r="AK30" s="523">
        <v>1</v>
      </c>
      <c r="AL30" s="523">
        <v>1</v>
      </c>
      <c r="AM30" s="523"/>
      <c r="AN30" s="523"/>
      <c r="AO30" s="523"/>
      <c r="AP30" s="523"/>
      <c r="AQ30" s="523"/>
    </row>
    <row r="31" spans="1:43" ht="12.75">
      <c r="A31" s="523" t="s">
        <v>460</v>
      </c>
      <c r="B31" s="523"/>
      <c r="C31" s="523"/>
      <c r="D31" s="523"/>
      <c r="E31" s="523"/>
      <c r="F31" s="523"/>
      <c r="G31" s="523"/>
      <c r="H31" s="523"/>
      <c r="I31" s="523"/>
      <c r="J31" s="523"/>
      <c r="K31" s="523"/>
      <c r="L31" s="523"/>
      <c r="M31" s="523"/>
      <c r="N31" s="523"/>
      <c r="O31" s="523"/>
      <c r="P31" s="523"/>
      <c r="Q31" s="523">
        <v>0.79</v>
      </c>
      <c r="R31" s="523">
        <v>1</v>
      </c>
      <c r="S31" s="523"/>
      <c r="T31" s="523"/>
      <c r="U31" s="523"/>
      <c r="V31" s="523">
        <v>1</v>
      </c>
      <c r="W31" s="523"/>
      <c r="X31" s="523"/>
      <c r="Y31" s="523"/>
      <c r="Z31" s="523"/>
      <c r="AA31" s="523">
        <v>1</v>
      </c>
      <c r="AB31" s="523"/>
      <c r="AC31" s="523">
        <v>0.87</v>
      </c>
      <c r="AD31" s="523">
        <v>0.87</v>
      </c>
      <c r="AE31" s="523"/>
      <c r="AF31" s="523"/>
      <c r="AG31" s="523">
        <v>0.87</v>
      </c>
      <c r="AH31" s="523">
        <v>0.87</v>
      </c>
      <c r="AI31" s="523"/>
      <c r="AJ31" s="523"/>
      <c r="AK31" s="523">
        <v>0.87</v>
      </c>
      <c r="AL31" s="523">
        <v>1</v>
      </c>
      <c r="AM31" s="523"/>
      <c r="AN31" s="523"/>
      <c r="AO31" s="523"/>
      <c r="AP31" s="523"/>
      <c r="AQ31" s="523"/>
    </row>
    <row r="32" spans="1:43" ht="12.75">
      <c r="A32" s="523" t="s">
        <v>461</v>
      </c>
      <c r="B32" s="523"/>
      <c r="C32" s="523"/>
      <c r="D32" s="523"/>
      <c r="E32" s="523"/>
      <c r="F32" s="523"/>
      <c r="G32" s="523"/>
      <c r="H32" s="523"/>
      <c r="I32" s="523"/>
      <c r="J32" s="523"/>
      <c r="K32" s="523"/>
      <c r="L32" s="523"/>
      <c r="M32" s="523"/>
      <c r="N32" s="523"/>
      <c r="O32" s="523"/>
      <c r="P32" s="523"/>
      <c r="Q32" s="523">
        <v>0.79</v>
      </c>
      <c r="R32" s="523">
        <v>1</v>
      </c>
      <c r="S32" s="523"/>
      <c r="T32" s="523"/>
      <c r="U32" s="523"/>
      <c r="V32" s="523">
        <v>1</v>
      </c>
      <c r="W32" s="523"/>
      <c r="X32" s="523"/>
      <c r="Y32" s="523"/>
      <c r="Z32" s="523"/>
      <c r="AA32" s="523">
        <v>1</v>
      </c>
      <c r="AB32" s="523"/>
      <c r="AC32" s="523">
        <v>0.87</v>
      </c>
      <c r="AD32" s="523">
        <v>1</v>
      </c>
      <c r="AE32" s="523"/>
      <c r="AF32" s="523"/>
      <c r="AG32" s="523">
        <v>1</v>
      </c>
      <c r="AH32" s="523">
        <v>0.87</v>
      </c>
      <c r="AI32" s="523"/>
      <c r="AJ32" s="523"/>
      <c r="AK32" s="523">
        <v>0.87</v>
      </c>
      <c r="AL32" s="523">
        <v>0.87</v>
      </c>
      <c r="AM32" s="523"/>
      <c r="AN32" s="523"/>
      <c r="AO32" s="523"/>
      <c r="AP32" s="523"/>
      <c r="AQ32" s="523"/>
    </row>
    <row r="33" spans="1:43" ht="12.75">
      <c r="A33" s="523" t="s">
        <v>462</v>
      </c>
      <c r="B33" s="523"/>
      <c r="C33" s="523"/>
      <c r="D33" s="523"/>
      <c r="E33" s="523"/>
      <c r="F33" s="523"/>
      <c r="G33" s="523"/>
      <c r="H33" s="523"/>
      <c r="I33" s="523"/>
      <c r="J33" s="523"/>
      <c r="K33" s="523"/>
      <c r="L33" s="523"/>
      <c r="M33" s="523"/>
      <c r="N33" s="523"/>
      <c r="O33" s="523"/>
      <c r="P33" s="523"/>
      <c r="Q33" s="523">
        <v>1</v>
      </c>
      <c r="R33" s="523">
        <v>0.79</v>
      </c>
      <c r="S33" s="523"/>
      <c r="T33" s="523"/>
      <c r="U33" s="523"/>
      <c r="V33" s="523">
        <v>1</v>
      </c>
      <c r="W33" s="523"/>
      <c r="X33" s="523"/>
      <c r="Y33" s="523"/>
      <c r="Z33" s="523"/>
      <c r="AA33" s="523">
        <v>1</v>
      </c>
      <c r="AB33" s="523"/>
      <c r="AC33" s="523">
        <v>0.87</v>
      </c>
      <c r="AD33" s="523">
        <v>0.87</v>
      </c>
      <c r="AE33" s="523"/>
      <c r="AF33" s="523"/>
      <c r="AG33" s="523">
        <v>0.87</v>
      </c>
      <c r="AH33" s="523">
        <v>1</v>
      </c>
      <c r="AI33" s="523"/>
      <c r="AJ33" s="523"/>
      <c r="AK33" s="523">
        <v>0.87</v>
      </c>
      <c r="AL33" s="523">
        <v>0.87</v>
      </c>
      <c r="AM33" s="523"/>
      <c r="AN33" s="523"/>
      <c r="AO33" s="523"/>
      <c r="AP33" s="523"/>
      <c r="AQ33" s="549"/>
    </row>
    <row r="34" spans="1:43" ht="12.75">
      <c r="A34" s="523" t="s">
        <v>463</v>
      </c>
      <c r="B34" s="523"/>
      <c r="C34" s="523"/>
      <c r="D34" s="523"/>
      <c r="E34" s="523"/>
      <c r="F34" s="523"/>
      <c r="G34" s="523"/>
      <c r="H34" s="523"/>
      <c r="I34" s="523"/>
      <c r="J34" s="523"/>
      <c r="K34" s="523"/>
      <c r="L34" s="523"/>
      <c r="M34" s="523"/>
      <c r="N34" s="523"/>
      <c r="O34" s="523"/>
      <c r="P34" s="523"/>
      <c r="Q34" s="523">
        <v>1</v>
      </c>
      <c r="R34" s="523">
        <v>0.79</v>
      </c>
      <c r="S34" s="523"/>
      <c r="T34" s="523"/>
      <c r="U34" s="523"/>
      <c r="V34" s="523">
        <v>1</v>
      </c>
      <c r="W34" s="523"/>
      <c r="X34" s="523"/>
      <c r="Y34" s="523"/>
      <c r="Z34" s="523"/>
      <c r="AA34" s="523">
        <v>1</v>
      </c>
      <c r="AB34" s="523"/>
      <c r="AC34" s="523">
        <v>0.87</v>
      </c>
      <c r="AD34" s="523">
        <v>0.87</v>
      </c>
      <c r="AE34" s="523"/>
      <c r="AF34" s="523"/>
      <c r="AG34" s="523">
        <v>0.87</v>
      </c>
      <c r="AH34" s="523">
        <v>0.87</v>
      </c>
      <c r="AI34" s="523"/>
      <c r="AJ34" s="523"/>
      <c r="AK34" s="523">
        <v>0.87</v>
      </c>
      <c r="AL34" s="523">
        <v>1</v>
      </c>
      <c r="AM34" s="523"/>
      <c r="AN34" s="523"/>
      <c r="AO34" s="523"/>
      <c r="AP34" s="523"/>
      <c r="AQ34" s="549"/>
    </row>
    <row r="35" spans="1:43" s="536" customFormat="1" ht="12.75">
      <c r="A35" s="548" t="s">
        <v>219</v>
      </c>
      <c r="B35" s="548">
        <v>0.92</v>
      </c>
      <c r="C35" s="548">
        <v>0.92</v>
      </c>
      <c r="D35" s="548"/>
      <c r="E35" s="548"/>
      <c r="F35" s="548">
        <v>0.92</v>
      </c>
      <c r="G35" s="548">
        <v>0.92</v>
      </c>
      <c r="H35" s="548"/>
      <c r="I35" s="548"/>
      <c r="J35" s="548">
        <v>0.92</v>
      </c>
      <c r="K35" s="548">
        <v>0.92</v>
      </c>
      <c r="L35" s="548"/>
      <c r="M35" s="548"/>
      <c r="N35" s="548"/>
      <c r="O35" s="548"/>
      <c r="P35" s="548"/>
      <c r="Q35" s="548">
        <v>1</v>
      </c>
      <c r="R35" s="548">
        <v>1</v>
      </c>
      <c r="S35" s="548">
        <v>0.61</v>
      </c>
      <c r="T35" s="548">
        <v>1</v>
      </c>
      <c r="U35" s="630">
        <v>0.71</v>
      </c>
      <c r="V35" s="548">
        <v>0.71</v>
      </c>
      <c r="W35" s="548"/>
      <c r="X35" s="548"/>
      <c r="Y35" s="548"/>
      <c r="Z35" s="548"/>
      <c r="AA35" s="548">
        <v>1</v>
      </c>
      <c r="AB35" s="548"/>
      <c r="AC35" s="548">
        <v>1</v>
      </c>
      <c r="AD35" s="548">
        <v>1</v>
      </c>
      <c r="AE35" s="548"/>
      <c r="AF35" s="548"/>
      <c r="AG35" s="548">
        <v>1</v>
      </c>
      <c r="AH35" s="548">
        <v>1</v>
      </c>
      <c r="AI35" s="548"/>
      <c r="AJ35" s="548"/>
      <c r="AK35" s="548">
        <v>1</v>
      </c>
      <c r="AL35" s="548">
        <v>1</v>
      </c>
      <c r="AM35" s="548"/>
      <c r="AN35" s="548"/>
      <c r="AO35" s="548"/>
      <c r="AP35" s="548"/>
      <c r="AQ35" s="548"/>
    </row>
    <row r="36" spans="1:43" ht="12.75">
      <c r="A36" s="523" t="s">
        <v>220</v>
      </c>
      <c r="B36" s="523">
        <v>0.92</v>
      </c>
      <c r="C36" s="523">
        <v>0.92</v>
      </c>
      <c r="D36" s="523"/>
      <c r="E36" s="523"/>
      <c r="F36" s="523">
        <v>0.92</v>
      </c>
      <c r="G36" s="523">
        <v>0.92</v>
      </c>
      <c r="H36" s="523"/>
      <c r="I36" s="523"/>
      <c r="J36" s="523">
        <v>0.92</v>
      </c>
      <c r="K36" s="523">
        <v>0.92</v>
      </c>
      <c r="L36" s="523"/>
      <c r="M36" s="523"/>
      <c r="N36" s="523"/>
      <c r="O36" s="523"/>
      <c r="P36" s="523"/>
      <c r="Q36" s="523">
        <v>1</v>
      </c>
      <c r="R36" s="523">
        <v>1</v>
      </c>
      <c r="S36" s="523">
        <v>0.61</v>
      </c>
      <c r="T36" s="523">
        <v>0.91</v>
      </c>
      <c r="U36" s="629">
        <v>0.7</v>
      </c>
      <c r="V36" s="523">
        <v>0.71</v>
      </c>
      <c r="W36" s="523"/>
      <c r="X36" s="523"/>
      <c r="Y36" s="523"/>
      <c r="Z36" s="523"/>
      <c r="AA36" s="523">
        <v>1</v>
      </c>
      <c r="AB36" s="523"/>
      <c r="AC36" s="523">
        <v>1</v>
      </c>
      <c r="AD36" s="523">
        <v>1</v>
      </c>
      <c r="AE36" s="523"/>
      <c r="AF36" s="523"/>
      <c r="AG36" s="523">
        <v>1</v>
      </c>
      <c r="AH36" s="523">
        <v>1</v>
      </c>
      <c r="AI36" s="523"/>
      <c r="AJ36" s="523"/>
      <c r="AK36" s="523">
        <v>1</v>
      </c>
      <c r="AL36" s="523">
        <v>1</v>
      </c>
      <c r="AM36" s="523"/>
      <c r="AN36" s="523"/>
      <c r="AO36" s="523"/>
      <c r="AP36" s="523"/>
      <c r="AQ36" s="523"/>
    </row>
    <row r="37" spans="1:43" ht="12.75">
      <c r="A37" s="523" t="s">
        <v>221</v>
      </c>
      <c r="B37" s="523">
        <v>0.92</v>
      </c>
      <c r="C37" s="523">
        <v>0.92</v>
      </c>
      <c r="D37" s="523"/>
      <c r="E37" s="523"/>
      <c r="F37" s="523">
        <v>0.92</v>
      </c>
      <c r="G37" s="523">
        <v>0.92</v>
      </c>
      <c r="H37" s="523"/>
      <c r="I37" s="523"/>
      <c r="J37" s="523">
        <v>0.92</v>
      </c>
      <c r="K37" s="523">
        <v>0.92</v>
      </c>
      <c r="L37" s="523"/>
      <c r="M37" s="523"/>
      <c r="N37" s="523"/>
      <c r="O37" s="523"/>
      <c r="P37" s="523"/>
      <c r="Q37" s="523">
        <v>1</v>
      </c>
      <c r="R37" s="523">
        <v>1</v>
      </c>
      <c r="S37" s="523">
        <v>0.61</v>
      </c>
      <c r="T37" s="523">
        <v>1</v>
      </c>
      <c r="U37" s="629">
        <v>0.71</v>
      </c>
      <c r="V37" s="523">
        <v>0.71</v>
      </c>
      <c r="W37" s="523"/>
      <c r="X37" s="523"/>
      <c r="Y37" s="523"/>
      <c r="Z37" s="523"/>
      <c r="AA37" s="523">
        <v>1</v>
      </c>
      <c r="AB37" s="523"/>
      <c r="AC37" s="523">
        <v>1</v>
      </c>
      <c r="AD37" s="523">
        <v>1</v>
      </c>
      <c r="AE37" s="523"/>
      <c r="AF37" s="523"/>
      <c r="AG37" s="523">
        <v>1</v>
      </c>
      <c r="AH37" s="523">
        <v>1</v>
      </c>
      <c r="AI37" s="523"/>
      <c r="AJ37" s="523"/>
      <c r="AK37" s="523">
        <v>1</v>
      </c>
      <c r="AL37" s="523">
        <v>1</v>
      </c>
      <c r="AM37" s="523"/>
      <c r="AN37" s="523"/>
      <c r="AO37" s="523"/>
      <c r="AP37" s="523"/>
      <c r="AQ37" s="523"/>
    </row>
    <row r="38" spans="1:43" ht="12.75">
      <c r="A38" s="523" t="s">
        <v>222</v>
      </c>
      <c r="B38" s="523">
        <v>0.92</v>
      </c>
      <c r="C38" s="523">
        <v>0.92</v>
      </c>
      <c r="D38" s="523"/>
      <c r="E38" s="523"/>
      <c r="F38" s="523">
        <v>0.92</v>
      </c>
      <c r="G38" s="523">
        <v>0.92</v>
      </c>
      <c r="H38" s="523"/>
      <c r="I38" s="523"/>
      <c r="J38" s="523">
        <v>0.92</v>
      </c>
      <c r="K38" s="523">
        <v>0.92</v>
      </c>
      <c r="L38" s="523"/>
      <c r="M38" s="523"/>
      <c r="N38" s="523"/>
      <c r="O38" s="523"/>
      <c r="P38" s="523"/>
      <c r="Q38" s="523">
        <v>1</v>
      </c>
      <c r="R38" s="523">
        <v>1</v>
      </c>
      <c r="S38" s="523">
        <v>0.61</v>
      </c>
      <c r="T38" s="523">
        <v>1</v>
      </c>
      <c r="U38" s="629">
        <v>0.7</v>
      </c>
      <c r="V38" s="523">
        <v>0.71</v>
      </c>
      <c r="W38" s="523"/>
      <c r="X38" s="523"/>
      <c r="Y38" s="523"/>
      <c r="Z38" s="523"/>
      <c r="AA38" s="523">
        <v>1</v>
      </c>
      <c r="AB38" s="523"/>
      <c r="AC38" s="523">
        <v>1</v>
      </c>
      <c r="AD38" s="523">
        <v>1</v>
      </c>
      <c r="AE38" s="523"/>
      <c r="AF38" s="523"/>
      <c r="AG38" s="523">
        <v>1</v>
      </c>
      <c r="AH38" s="523">
        <v>1</v>
      </c>
      <c r="AI38" s="523"/>
      <c r="AJ38" s="523"/>
      <c r="AK38" s="523">
        <v>1</v>
      </c>
      <c r="AL38" s="523">
        <v>1</v>
      </c>
      <c r="AM38" s="523"/>
      <c r="AN38" s="523"/>
      <c r="AO38" s="523"/>
      <c r="AP38" s="523"/>
      <c r="AQ38" s="523"/>
    </row>
    <row r="39" spans="1:43" ht="12.75">
      <c r="A39" s="523" t="s">
        <v>223</v>
      </c>
      <c r="B39" s="523">
        <v>0.92</v>
      </c>
      <c r="C39" s="523">
        <v>0.92</v>
      </c>
      <c r="D39" s="523"/>
      <c r="E39" s="523"/>
      <c r="F39" s="523">
        <v>0.92</v>
      </c>
      <c r="G39" s="523">
        <v>0.92</v>
      </c>
      <c r="H39" s="523"/>
      <c r="I39" s="523"/>
      <c r="J39" s="523">
        <v>0.92</v>
      </c>
      <c r="K39" s="523">
        <v>0.92</v>
      </c>
      <c r="L39" s="523"/>
      <c r="M39" s="523"/>
      <c r="N39" s="523"/>
      <c r="O39" s="523"/>
      <c r="P39" s="523"/>
      <c r="Q39" s="523">
        <v>1</v>
      </c>
      <c r="R39" s="523">
        <v>1</v>
      </c>
      <c r="S39" s="523">
        <v>0.61</v>
      </c>
      <c r="T39" s="523">
        <v>1</v>
      </c>
      <c r="U39" s="629">
        <v>0.71</v>
      </c>
      <c r="V39" s="523">
        <v>0.71</v>
      </c>
      <c r="W39" s="523"/>
      <c r="X39" s="523"/>
      <c r="Y39" s="523"/>
      <c r="Z39" s="523"/>
      <c r="AA39" s="523">
        <v>1</v>
      </c>
      <c r="AB39" s="523"/>
      <c r="AC39" s="523">
        <v>1</v>
      </c>
      <c r="AD39" s="523">
        <v>1</v>
      </c>
      <c r="AE39" s="523"/>
      <c r="AF39" s="523"/>
      <c r="AG39" s="523">
        <v>1</v>
      </c>
      <c r="AH39" s="523">
        <v>1</v>
      </c>
      <c r="AI39" s="523"/>
      <c r="AJ39" s="523"/>
      <c r="AK39" s="523">
        <v>1</v>
      </c>
      <c r="AL39" s="523">
        <v>1</v>
      </c>
      <c r="AM39" s="523"/>
      <c r="AN39" s="523"/>
      <c r="AO39" s="523"/>
      <c r="AP39" s="523"/>
      <c r="AQ39" s="523"/>
    </row>
    <row r="40" spans="1:43" ht="12.75">
      <c r="A40" s="523" t="s">
        <v>224</v>
      </c>
      <c r="B40" s="523">
        <v>0.92</v>
      </c>
      <c r="C40" s="523">
        <v>0.92</v>
      </c>
      <c r="D40" s="523"/>
      <c r="E40" s="523"/>
      <c r="F40" s="523">
        <v>0.92</v>
      </c>
      <c r="G40" s="523">
        <v>0.92</v>
      </c>
      <c r="H40" s="523"/>
      <c r="I40" s="523"/>
      <c r="J40" s="523">
        <v>0.92</v>
      </c>
      <c r="K40" s="523">
        <v>0.92</v>
      </c>
      <c r="L40" s="523"/>
      <c r="M40" s="523"/>
      <c r="N40" s="523"/>
      <c r="O40" s="523"/>
      <c r="P40" s="523"/>
      <c r="Q40" s="523">
        <v>1</v>
      </c>
      <c r="R40" s="523">
        <v>1</v>
      </c>
      <c r="S40" s="523">
        <v>0.61</v>
      </c>
      <c r="T40" s="523">
        <v>1</v>
      </c>
      <c r="U40" s="629">
        <v>0.71</v>
      </c>
      <c r="V40" s="523">
        <v>0.71</v>
      </c>
      <c r="W40" s="523"/>
      <c r="X40" s="523"/>
      <c r="Y40" s="523"/>
      <c r="Z40" s="523"/>
      <c r="AA40" s="523">
        <v>1</v>
      </c>
      <c r="AB40" s="523"/>
      <c r="AC40" s="523">
        <v>1</v>
      </c>
      <c r="AD40" s="523">
        <v>1</v>
      </c>
      <c r="AE40" s="523"/>
      <c r="AF40" s="523"/>
      <c r="AG40" s="523">
        <v>1</v>
      </c>
      <c r="AH40" s="523">
        <v>1</v>
      </c>
      <c r="AI40" s="523"/>
      <c r="AJ40" s="523"/>
      <c r="AK40" s="523">
        <v>1</v>
      </c>
      <c r="AL40" s="523">
        <v>1</v>
      </c>
      <c r="AM40" s="523"/>
      <c r="AN40" s="523"/>
      <c r="AO40" s="523"/>
      <c r="AP40" s="523"/>
      <c r="AQ40" s="523"/>
    </row>
    <row r="41" spans="1:43" ht="12.75">
      <c r="A41" s="523" t="s">
        <v>225</v>
      </c>
      <c r="B41" s="523">
        <v>0.92</v>
      </c>
      <c r="C41" s="523">
        <v>0.92</v>
      </c>
      <c r="D41" s="523"/>
      <c r="E41" s="523"/>
      <c r="F41" s="523">
        <v>0.88</v>
      </c>
      <c r="G41" s="523">
        <v>0.92</v>
      </c>
      <c r="H41" s="523"/>
      <c r="I41" s="523"/>
      <c r="J41" s="523">
        <v>0.92</v>
      </c>
      <c r="K41" s="523">
        <v>0.92</v>
      </c>
      <c r="L41" s="523"/>
      <c r="M41" s="523"/>
      <c r="N41" s="523"/>
      <c r="O41" s="523"/>
      <c r="P41" s="523"/>
      <c r="Q41" s="523">
        <v>1</v>
      </c>
      <c r="R41" s="523">
        <v>1</v>
      </c>
      <c r="S41" s="523">
        <v>0.61</v>
      </c>
      <c r="T41" s="523">
        <v>1</v>
      </c>
      <c r="U41" s="629">
        <v>0.71</v>
      </c>
      <c r="V41" s="523">
        <v>0.7</v>
      </c>
      <c r="W41" s="523"/>
      <c r="X41" s="523"/>
      <c r="Y41" s="523"/>
      <c r="Z41" s="523"/>
      <c r="AA41" s="523">
        <v>1</v>
      </c>
      <c r="AB41" s="523"/>
      <c r="AC41" s="523">
        <v>1</v>
      </c>
      <c r="AD41" s="523">
        <v>1</v>
      </c>
      <c r="AE41" s="523"/>
      <c r="AF41" s="523"/>
      <c r="AG41" s="523">
        <v>1</v>
      </c>
      <c r="AH41" s="523">
        <v>1</v>
      </c>
      <c r="AI41" s="523"/>
      <c r="AJ41" s="523"/>
      <c r="AK41" s="523">
        <v>1</v>
      </c>
      <c r="AL41" s="523">
        <v>1</v>
      </c>
      <c r="AM41" s="523"/>
      <c r="AN41" s="523"/>
      <c r="AO41" s="523"/>
      <c r="AP41" s="523"/>
      <c r="AQ41" s="523"/>
    </row>
    <row r="42" spans="1:43" ht="12.75">
      <c r="A42" s="523" t="s">
        <v>226</v>
      </c>
      <c r="B42" s="523">
        <v>0.92</v>
      </c>
      <c r="C42" s="523">
        <v>0.92</v>
      </c>
      <c r="D42" s="523"/>
      <c r="E42" s="523"/>
      <c r="F42" s="523">
        <v>0.92</v>
      </c>
      <c r="G42" s="523">
        <v>0.92</v>
      </c>
      <c r="H42" s="523"/>
      <c r="I42" s="523"/>
      <c r="J42" s="523">
        <v>0.92</v>
      </c>
      <c r="K42" s="523">
        <v>0.92</v>
      </c>
      <c r="L42" s="523"/>
      <c r="M42" s="523"/>
      <c r="N42" s="523"/>
      <c r="O42" s="523"/>
      <c r="P42" s="523"/>
      <c r="Q42" s="523">
        <v>1</v>
      </c>
      <c r="R42" s="523">
        <v>1</v>
      </c>
      <c r="S42" s="523">
        <v>0.61</v>
      </c>
      <c r="T42" s="523">
        <v>1</v>
      </c>
      <c r="U42" s="629">
        <v>0.71</v>
      </c>
      <c r="V42" s="523">
        <v>0.71</v>
      </c>
      <c r="W42" s="523"/>
      <c r="X42" s="523"/>
      <c r="Y42" s="523"/>
      <c r="Z42" s="523"/>
      <c r="AA42" s="523">
        <v>1</v>
      </c>
      <c r="AB42" s="523"/>
      <c r="AC42" s="523">
        <v>1</v>
      </c>
      <c r="AD42" s="523">
        <v>1</v>
      </c>
      <c r="AE42" s="523"/>
      <c r="AF42" s="523"/>
      <c r="AG42" s="523">
        <v>1</v>
      </c>
      <c r="AH42" s="523">
        <v>1</v>
      </c>
      <c r="AI42" s="523"/>
      <c r="AJ42" s="523"/>
      <c r="AK42" s="523">
        <v>1</v>
      </c>
      <c r="AL42" s="523">
        <v>1</v>
      </c>
      <c r="AM42" s="523"/>
      <c r="AN42" s="523"/>
      <c r="AO42" s="523"/>
      <c r="AP42" s="523"/>
      <c r="AQ42" s="523"/>
    </row>
    <row r="43" spans="1:43" ht="12.75">
      <c r="A43" s="523" t="s">
        <v>227</v>
      </c>
      <c r="B43" s="523">
        <v>0.92</v>
      </c>
      <c r="C43" s="523">
        <v>0.92</v>
      </c>
      <c r="D43" s="523"/>
      <c r="E43" s="523"/>
      <c r="F43" s="523">
        <v>0.92</v>
      </c>
      <c r="G43" s="523">
        <v>0.92</v>
      </c>
      <c r="H43" s="523"/>
      <c r="I43" s="523"/>
      <c r="J43" s="523">
        <v>0.92</v>
      </c>
      <c r="K43" s="523">
        <v>0.92</v>
      </c>
      <c r="L43" s="523"/>
      <c r="M43" s="523"/>
      <c r="N43" s="523"/>
      <c r="O43" s="523"/>
      <c r="P43" s="523"/>
      <c r="Q43" s="523">
        <v>1</v>
      </c>
      <c r="R43" s="523">
        <v>1</v>
      </c>
      <c r="S43" s="523">
        <v>0.61</v>
      </c>
      <c r="T43" s="523">
        <v>1</v>
      </c>
      <c r="U43" s="629">
        <v>0.71</v>
      </c>
      <c r="V43" s="523">
        <v>0.71</v>
      </c>
      <c r="W43" s="523"/>
      <c r="X43" s="523"/>
      <c r="Y43" s="523"/>
      <c r="Z43" s="523"/>
      <c r="AA43" s="523">
        <v>1</v>
      </c>
      <c r="AB43" s="523"/>
      <c r="AC43" s="523">
        <v>1</v>
      </c>
      <c r="AD43" s="523">
        <v>1</v>
      </c>
      <c r="AE43" s="523"/>
      <c r="AF43" s="523"/>
      <c r="AG43" s="523">
        <v>1</v>
      </c>
      <c r="AH43" s="523">
        <v>1</v>
      </c>
      <c r="AI43" s="523"/>
      <c r="AJ43" s="523"/>
      <c r="AK43" s="523">
        <v>1</v>
      </c>
      <c r="AL43" s="523">
        <v>1</v>
      </c>
      <c r="AM43" s="523"/>
      <c r="AN43" s="523"/>
      <c r="AO43" s="523"/>
      <c r="AP43" s="523"/>
      <c r="AQ43" s="523"/>
    </row>
    <row r="44" spans="1:43" ht="12.75">
      <c r="A44" s="523" t="s">
        <v>228</v>
      </c>
      <c r="B44" s="523">
        <v>0.92</v>
      </c>
      <c r="C44" s="523">
        <v>0.92</v>
      </c>
      <c r="D44" s="523"/>
      <c r="E44" s="523"/>
      <c r="F44" s="523">
        <v>0.92</v>
      </c>
      <c r="G44" s="523">
        <v>0.92</v>
      </c>
      <c r="H44" s="523"/>
      <c r="I44" s="523"/>
      <c r="J44" s="523">
        <v>0.92</v>
      </c>
      <c r="K44" s="523">
        <v>0.92</v>
      </c>
      <c r="L44" s="523"/>
      <c r="M44" s="523"/>
      <c r="N44" s="523"/>
      <c r="O44" s="523"/>
      <c r="P44" s="523"/>
      <c r="Q44" s="523">
        <v>1</v>
      </c>
      <c r="R44" s="523">
        <v>1</v>
      </c>
      <c r="S44" s="523">
        <v>0.61</v>
      </c>
      <c r="T44" s="523">
        <v>1</v>
      </c>
      <c r="U44" s="629">
        <v>0.7</v>
      </c>
      <c r="V44" s="523">
        <v>0.71</v>
      </c>
      <c r="W44" s="523"/>
      <c r="X44" s="523"/>
      <c r="Y44" s="523"/>
      <c r="Z44" s="523"/>
      <c r="AA44" s="523">
        <v>1</v>
      </c>
      <c r="AB44" s="523"/>
      <c r="AC44" s="523">
        <v>1</v>
      </c>
      <c r="AD44" s="523">
        <v>1</v>
      </c>
      <c r="AE44" s="523"/>
      <c r="AF44" s="523"/>
      <c r="AG44" s="523">
        <v>1</v>
      </c>
      <c r="AH44" s="523">
        <v>1</v>
      </c>
      <c r="AI44" s="523"/>
      <c r="AJ44" s="523"/>
      <c r="AK44" s="523">
        <v>1</v>
      </c>
      <c r="AL44" s="523">
        <v>1</v>
      </c>
      <c r="AM44" s="523"/>
      <c r="AN44" s="523"/>
      <c r="AO44" s="523"/>
      <c r="AP44" s="523"/>
      <c r="AQ44" s="523"/>
    </row>
    <row r="45" spans="1:43" s="536" customFormat="1" ht="12.75">
      <c r="A45" s="548" t="s">
        <v>260</v>
      </c>
      <c r="B45" s="548">
        <v>1</v>
      </c>
      <c r="C45" s="548">
        <v>1</v>
      </c>
      <c r="D45" s="548"/>
      <c r="E45" s="548"/>
      <c r="F45" s="548">
        <v>1</v>
      </c>
      <c r="G45" s="548">
        <v>1</v>
      </c>
      <c r="H45" s="548"/>
      <c r="I45" s="548"/>
      <c r="J45" s="548">
        <v>1</v>
      </c>
      <c r="K45" s="548">
        <v>1</v>
      </c>
      <c r="L45" s="548"/>
      <c r="M45" s="548"/>
      <c r="N45" s="548"/>
      <c r="O45" s="548"/>
      <c r="P45" s="548"/>
      <c r="Q45" s="548">
        <v>1</v>
      </c>
      <c r="R45" s="548">
        <v>1</v>
      </c>
      <c r="S45" s="548">
        <v>0.9</v>
      </c>
      <c r="T45" s="548"/>
      <c r="U45" s="548">
        <v>0.85</v>
      </c>
      <c r="V45" s="548"/>
      <c r="W45" s="548"/>
      <c r="X45" s="548"/>
      <c r="Y45" s="548"/>
      <c r="Z45" s="548"/>
      <c r="AA45" s="548">
        <v>0.93</v>
      </c>
      <c r="AB45" s="548"/>
      <c r="AC45" s="548">
        <v>1</v>
      </c>
      <c r="AD45" s="548">
        <v>1</v>
      </c>
      <c r="AE45" s="548"/>
      <c r="AF45" s="548"/>
      <c r="AG45" s="548">
        <v>1</v>
      </c>
      <c r="AH45" s="548">
        <v>1</v>
      </c>
      <c r="AI45" s="548"/>
      <c r="AJ45" s="548"/>
      <c r="AK45" s="548">
        <v>1</v>
      </c>
      <c r="AL45" s="548">
        <v>1</v>
      </c>
      <c r="AM45" s="548"/>
      <c r="AN45" s="548"/>
      <c r="AO45" s="548"/>
      <c r="AP45" s="548"/>
      <c r="AQ45" s="548"/>
    </row>
    <row r="46" spans="1:43" ht="12.75">
      <c r="A46" s="523" t="s">
        <v>261</v>
      </c>
      <c r="B46" s="523">
        <v>1</v>
      </c>
      <c r="C46" s="523">
        <v>1</v>
      </c>
      <c r="D46" s="523"/>
      <c r="E46" s="523"/>
      <c r="F46" s="523">
        <v>1</v>
      </c>
      <c r="G46" s="523">
        <v>1</v>
      </c>
      <c r="H46" s="523"/>
      <c r="I46" s="523"/>
      <c r="J46" s="523">
        <v>1</v>
      </c>
      <c r="K46" s="523">
        <v>1</v>
      </c>
      <c r="L46" s="523"/>
      <c r="M46" s="523"/>
      <c r="N46" s="523"/>
      <c r="O46" s="523"/>
      <c r="P46" s="523"/>
      <c r="Q46" s="523">
        <v>1</v>
      </c>
      <c r="R46" s="523">
        <v>1</v>
      </c>
      <c r="S46" s="523">
        <v>0.9</v>
      </c>
      <c r="T46" s="523"/>
      <c r="U46" s="523">
        <v>0.85</v>
      </c>
      <c r="V46" s="523"/>
      <c r="W46" s="523"/>
      <c r="X46" s="523"/>
      <c r="Y46" s="523"/>
      <c r="Z46" s="523"/>
      <c r="AA46" s="523">
        <v>0.93</v>
      </c>
      <c r="AB46" s="523"/>
      <c r="AC46" s="523">
        <v>1</v>
      </c>
      <c r="AD46" s="523">
        <v>1</v>
      </c>
      <c r="AE46" s="523"/>
      <c r="AF46" s="523"/>
      <c r="AG46" s="523">
        <v>1</v>
      </c>
      <c r="AH46" s="523">
        <v>1</v>
      </c>
      <c r="AI46" s="523"/>
      <c r="AJ46" s="523"/>
      <c r="AK46" s="523">
        <v>1</v>
      </c>
      <c r="AL46" s="523">
        <v>1</v>
      </c>
      <c r="AM46" s="523"/>
      <c r="AN46" s="523"/>
      <c r="AO46" s="523"/>
      <c r="AP46" s="523"/>
      <c r="AQ46" s="523"/>
    </row>
    <row r="47" spans="1:43" ht="12.75">
      <c r="A47" s="523" t="s">
        <v>262</v>
      </c>
      <c r="B47" s="523">
        <v>1</v>
      </c>
      <c r="C47" s="523">
        <v>1</v>
      </c>
      <c r="D47" s="523"/>
      <c r="E47" s="523"/>
      <c r="F47" s="523">
        <v>1</v>
      </c>
      <c r="G47" s="523">
        <v>1</v>
      </c>
      <c r="H47" s="523"/>
      <c r="I47" s="523"/>
      <c r="J47" s="523">
        <v>1</v>
      </c>
      <c r="K47" s="523">
        <v>1</v>
      </c>
      <c r="L47" s="523"/>
      <c r="M47" s="523"/>
      <c r="N47" s="523"/>
      <c r="O47" s="523"/>
      <c r="P47" s="523"/>
      <c r="Q47" s="523">
        <v>1</v>
      </c>
      <c r="R47" s="523">
        <v>1</v>
      </c>
      <c r="S47" s="523">
        <v>0.9</v>
      </c>
      <c r="T47" s="523"/>
      <c r="U47" s="523">
        <v>0.85</v>
      </c>
      <c r="V47" s="523"/>
      <c r="W47" s="523"/>
      <c r="X47" s="523"/>
      <c r="Y47" s="523"/>
      <c r="Z47" s="523"/>
      <c r="AA47" s="523">
        <v>0.93</v>
      </c>
      <c r="AB47" s="523"/>
      <c r="AC47" s="523">
        <v>1</v>
      </c>
      <c r="AD47" s="523">
        <v>1</v>
      </c>
      <c r="AE47" s="523"/>
      <c r="AF47" s="523"/>
      <c r="AG47" s="523">
        <v>1</v>
      </c>
      <c r="AH47" s="523">
        <v>1</v>
      </c>
      <c r="AI47" s="523"/>
      <c r="AJ47" s="523"/>
      <c r="AK47" s="523">
        <v>1</v>
      </c>
      <c r="AL47" s="523">
        <v>1</v>
      </c>
      <c r="AM47" s="523"/>
      <c r="AN47" s="523"/>
      <c r="AO47" s="523"/>
      <c r="AP47" s="523"/>
      <c r="AQ47" s="523"/>
    </row>
    <row r="48" spans="1:43" ht="12.75">
      <c r="A48" s="523" t="s">
        <v>263</v>
      </c>
      <c r="B48" s="523">
        <v>1</v>
      </c>
      <c r="C48" s="523">
        <v>1</v>
      </c>
      <c r="D48" s="523"/>
      <c r="E48" s="523"/>
      <c r="F48" s="523">
        <v>1</v>
      </c>
      <c r="G48" s="523">
        <v>1</v>
      </c>
      <c r="H48" s="523"/>
      <c r="I48" s="523"/>
      <c r="J48" s="523">
        <v>1</v>
      </c>
      <c r="K48" s="523">
        <v>1</v>
      </c>
      <c r="L48" s="523"/>
      <c r="M48" s="523"/>
      <c r="N48" s="523"/>
      <c r="O48" s="523"/>
      <c r="P48" s="523"/>
      <c r="Q48" s="523">
        <v>1</v>
      </c>
      <c r="R48" s="523">
        <v>1</v>
      </c>
      <c r="S48" s="523">
        <v>0.9</v>
      </c>
      <c r="T48" s="523"/>
      <c r="U48" s="523">
        <v>0.85</v>
      </c>
      <c r="V48" s="523"/>
      <c r="W48" s="523"/>
      <c r="X48" s="523"/>
      <c r="Y48" s="523"/>
      <c r="Z48" s="523"/>
      <c r="AA48" s="523">
        <v>0.93</v>
      </c>
      <c r="AB48" s="523"/>
      <c r="AC48" s="523">
        <v>1</v>
      </c>
      <c r="AD48" s="523">
        <v>1</v>
      </c>
      <c r="AE48" s="523"/>
      <c r="AF48" s="523"/>
      <c r="AG48" s="523">
        <v>1</v>
      </c>
      <c r="AH48" s="523">
        <v>1</v>
      </c>
      <c r="AI48" s="523"/>
      <c r="AJ48" s="523"/>
      <c r="AK48" s="523">
        <v>1</v>
      </c>
      <c r="AL48" s="523">
        <v>1</v>
      </c>
      <c r="AM48" s="523"/>
      <c r="AN48" s="523"/>
      <c r="AO48" s="523"/>
      <c r="AP48" s="523"/>
      <c r="AQ48" s="523"/>
    </row>
    <row r="49" spans="1:43" ht="12.75">
      <c r="A49" s="523" t="s">
        <v>264</v>
      </c>
      <c r="B49" s="523">
        <v>1</v>
      </c>
      <c r="C49" s="523">
        <v>1</v>
      </c>
      <c r="D49" s="523"/>
      <c r="E49" s="523"/>
      <c r="F49" s="523">
        <v>1</v>
      </c>
      <c r="G49" s="523">
        <v>1</v>
      </c>
      <c r="H49" s="523"/>
      <c r="I49" s="523"/>
      <c r="J49" s="523">
        <v>1</v>
      </c>
      <c r="K49" s="523">
        <v>1</v>
      </c>
      <c r="L49" s="523"/>
      <c r="M49" s="523"/>
      <c r="N49" s="523"/>
      <c r="O49" s="523"/>
      <c r="P49" s="523"/>
      <c r="Q49" s="523">
        <v>1</v>
      </c>
      <c r="R49" s="523">
        <v>1</v>
      </c>
      <c r="S49" s="523">
        <v>0.9</v>
      </c>
      <c r="T49" s="523"/>
      <c r="U49" s="523">
        <v>0.85</v>
      </c>
      <c r="V49" s="523"/>
      <c r="W49" s="523"/>
      <c r="X49" s="523"/>
      <c r="Y49" s="523"/>
      <c r="Z49" s="523"/>
      <c r="AA49" s="523">
        <v>0.93</v>
      </c>
      <c r="AB49" s="523"/>
      <c r="AC49" s="523">
        <v>1</v>
      </c>
      <c r="AD49" s="523">
        <v>1</v>
      </c>
      <c r="AE49" s="523"/>
      <c r="AF49" s="523"/>
      <c r="AG49" s="523">
        <v>1</v>
      </c>
      <c r="AH49" s="523">
        <v>1</v>
      </c>
      <c r="AI49" s="523"/>
      <c r="AJ49" s="523"/>
      <c r="AK49" s="523">
        <v>1</v>
      </c>
      <c r="AL49" s="523">
        <v>1</v>
      </c>
      <c r="AM49" s="523"/>
      <c r="AN49" s="523"/>
      <c r="AO49" s="523"/>
      <c r="AP49" s="523"/>
      <c r="AQ49" s="523"/>
    </row>
    <row r="50" spans="1:43" ht="12.75">
      <c r="A50" s="523" t="s">
        <v>265</v>
      </c>
      <c r="B50" s="523">
        <v>1</v>
      </c>
      <c r="C50" s="523">
        <v>1</v>
      </c>
      <c r="D50" s="523"/>
      <c r="E50" s="523"/>
      <c r="F50" s="523">
        <v>1</v>
      </c>
      <c r="G50" s="523">
        <v>1</v>
      </c>
      <c r="H50" s="523"/>
      <c r="I50" s="523"/>
      <c r="J50" s="523">
        <v>1</v>
      </c>
      <c r="K50" s="523">
        <v>1</v>
      </c>
      <c r="L50" s="523"/>
      <c r="M50" s="523"/>
      <c r="N50" s="523"/>
      <c r="O50" s="523"/>
      <c r="P50" s="523"/>
      <c r="Q50" s="523">
        <v>1</v>
      </c>
      <c r="R50" s="523">
        <v>1</v>
      </c>
      <c r="S50" s="523">
        <v>0.9</v>
      </c>
      <c r="T50" s="523"/>
      <c r="U50" s="523">
        <v>0.85</v>
      </c>
      <c r="V50" s="523"/>
      <c r="W50" s="523"/>
      <c r="X50" s="523"/>
      <c r="Y50" s="523"/>
      <c r="Z50" s="523"/>
      <c r="AA50" s="523">
        <v>0.93</v>
      </c>
      <c r="AB50" s="523"/>
      <c r="AC50" s="523">
        <v>1</v>
      </c>
      <c r="AD50" s="523">
        <v>1</v>
      </c>
      <c r="AE50" s="523"/>
      <c r="AF50" s="523"/>
      <c r="AG50" s="523">
        <v>1</v>
      </c>
      <c r="AH50" s="523">
        <v>1</v>
      </c>
      <c r="AI50" s="523"/>
      <c r="AJ50" s="523"/>
      <c r="AK50" s="523">
        <v>1</v>
      </c>
      <c r="AL50" s="523">
        <v>1</v>
      </c>
      <c r="AM50" s="523"/>
      <c r="AN50" s="523"/>
      <c r="AO50" s="523"/>
      <c r="AP50" s="523"/>
      <c r="AQ50" s="523"/>
    </row>
    <row r="51" spans="1:43" ht="12.75">
      <c r="A51" s="523" t="s">
        <v>266</v>
      </c>
      <c r="B51" s="523">
        <v>1</v>
      </c>
      <c r="C51" s="523">
        <v>1</v>
      </c>
      <c r="D51" s="523"/>
      <c r="E51" s="523"/>
      <c r="F51" s="523">
        <v>1</v>
      </c>
      <c r="G51" s="523">
        <v>1</v>
      </c>
      <c r="H51" s="523"/>
      <c r="I51" s="523"/>
      <c r="J51" s="523">
        <v>1</v>
      </c>
      <c r="K51" s="523">
        <v>1</v>
      </c>
      <c r="L51" s="523"/>
      <c r="M51" s="523"/>
      <c r="N51" s="523"/>
      <c r="O51" s="523"/>
      <c r="P51" s="523"/>
      <c r="Q51" s="523">
        <v>1</v>
      </c>
      <c r="R51" s="523">
        <v>1</v>
      </c>
      <c r="S51" s="523">
        <v>0.9</v>
      </c>
      <c r="T51" s="523"/>
      <c r="U51" s="523">
        <v>0.85</v>
      </c>
      <c r="V51" s="523"/>
      <c r="W51" s="523"/>
      <c r="X51" s="523"/>
      <c r="Y51" s="523"/>
      <c r="Z51" s="523"/>
      <c r="AA51" s="523">
        <v>0.93</v>
      </c>
      <c r="AB51" s="523"/>
      <c r="AC51" s="523">
        <v>1</v>
      </c>
      <c r="AD51" s="523">
        <v>1</v>
      </c>
      <c r="AE51" s="523"/>
      <c r="AF51" s="523"/>
      <c r="AG51" s="523">
        <v>1</v>
      </c>
      <c r="AH51" s="523">
        <v>1</v>
      </c>
      <c r="AI51" s="523"/>
      <c r="AJ51" s="523"/>
      <c r="AK51" s="523">
        <v>1</v>
      </c>
      <c r="AL51" s="523">
        <v>1</v>
      </c>
      <c r="AM51" s="523"/>
      <c r="AN51" s="523"/>
      <c r="AO51" s="523"/>
      <c r="AP51" s="523"/>
      <c r="AQ51" s="523"/>
    </row>
    <row r="52" spans="1:43" ht="12.75">
      <c r="A52" s="523" t="s">
        <v>267</v>
      </c>
      <c r="B52" s="523">
        <v>1</v>
      </c>
      <c r="C52" s="523">
        <v>1</v>
      </c>
      <c r="D52" s="523"/>
      <c r="E52" s="523"/>
      <c r="F52" s="523">
        <v>1</v>
      </c>
      <c r="G52" s="523">
        <v>1</v>
      </c>
      <c r="H52" s="523"/>
      <c r="I52" s="523"/>
      <c r="J52" s="523">
        <v>1</v>
      </c>
      <c r="K52" s="523">
        <v>1</v>
      </c>
      <c r="L52" s="523"/>
      <c r="M52" s="523"/>
      <c r="N52" s="523"/>
      <c r="O52" s="523"/>
      <c r="P52" s="523"/>
      <c r="Q52" s="523">
        <v>1</v>
      </c>
      <c r="R52" s="523">
        <v>1</v>
      </c>
      <c r="S52" s="523">
        <v>0.9</v>
      </c>
      <c r="T52" s="523"/>
      <c r="U52" s="523">
        <v>0.85</v>
      </c>
      <c r="V52" s="523"/>
      <c r="W52" s="523"/>
      <c r="X52" s="523"/>
      <c r="Y52" s="523"/>
      <c r="Z52" s="523"/>
      <c r="AA52" s="523">
        <v>0.93</v>
      </c>
      <c r="AB52" s="523"/>
      <c r="AC52" s="523">
        <v>1</v>
      </c>
      <c r="AD52" s="523">
        <v>1</v>
      </c>
      <c r="AE52" s="523"/>
      <c r="AF52" s="523"/>
      <c r="AG52" s="523">
        <v>1</v>
      </c>
      <c r="AH52" s="523">
        <v>1</v>
      </c>
      <c r="AI52" s="523"/>
      <c r="AJ52" s="523"/>
      <c r="AK52" s="523">
        <v>1</v>
      </c>
      <c r="AL52" s="523">
        <v>1</v>
      </c>
      <c r="AM52" s="523"/>
      <c r="AN52" s="523"/>
      <c r="AO52" s="523"/>
      <c r="AP52" s="523"/>
      <c r="AQ52" s="523"/>
    </row>
    <row r="53" spans="1:43" ht="12.75">
      <c r="A53" s="523" t="s">
        <v>268</v>
      </c>
      <c r="B53" s="523">
        <v>1</v>
      </c>
      <c r="C53" s="523">
        <v>1</v>
      </c>
      <c r="D53" s="523"/>
      <c r="E53" s="523"/>
      <c r="F53" s="523">
        <v>1</v>
      </c>
      <c r="G53" s="523">
        <v>1</v>
      </c>
      <c r="H53" s="523"/>
      <c r="I53" s="523"/>
      <c r="J53" s="523">
        <v>1</v>
      </c>
      <c r="K53" s="523">
        <v>1</v>
      </c>
      <c r="L53" s="523"/>
      <c r="M53" s="523"/>
      <c r="N53" s="523"/>
      <c r="O53" s="523"/>
      <c r="P53" s="523"/>
      <c r="Q53" s="523">
        <v>1</v>
      </c>
      <c r="R53" s="523">
        <v>1</v>
      </c>
      <c r="S53" s="523">
        <v>0.9</v>
      </c>
      <c r="T53" s="523"/>
      <c r="U53" s="523">
        <v>0.85</v>
      </c>
      <c r="V53" s="523"/>
      <c r="W53" s="523"/>
      <c r="X53" s="523"/>
      <c r="Y53" s="523"/>
      <c r="Z53" s="523"/>
      <c r="AA53" s="523">
        <v>0.93</v>
      </c>
      <c r="AB53" s="523"/>
      <c r="AC53" s="523">
        <v>1</v>
      </c>
      <c r="AD53" s="523">
        <v>1</v>
      </c>
      <c r="AE53" s="523"/>
      <c r="AF53" s="523"/>
      <c r="AG53" s="523">
        <v>1</v>
      </c>
      <c r="AH53" s="523">
        <v>1</v>
      </c>
      <c r="AI53" s="523"/>
      <c r="AJ53" s="523"/>
      <c r="AK53" s="523">
        <v>1</v>
      </c>
      <c r="AL53" s="523">
        <v>1</v>
      </c>
      <c r="AM53" s="523"/>
      <c r="AN53" s="523"/>
      <c r="AO53" s="523"/>
      <c r="AP53" s="523"/>
      <c r="AQ53" s="523"/>
    </row>
    <row r="54" spans="1:43" ht="12.75">
      <c r="A54" s="523" t="s">
        <v>269</v>
      </c>
      <c r="B54" s="523">
        <v>1</v>
      </c>
      <c r="C54" s="523">
        <v>1</v>
      </c>
      <c r="D54" s="523"/>
      <c r="E54" s="523"/>
      <c r="F54" s="523">
        <v>1</v>
      </c>
      <c r="G54" s="523">
        <v>1</v>
      </c>
      <c r="H54" s="523"/>
      <c r="I54" s="523"/>
      <c r="J54" s="523">
        <v>1</v>
      </c>
      <c r="K54" s="523">
        <v>1</v>
      </c>
      <c r="L54" s="523"/>
      <c r="M54" s="523"/>
      <c r="N54" s="523"/>
      <c r="O54" s="523"/>
      <c r="P54" s="523"/>
      <c r="Q54" s="523">
        <v>1</v>
      </c>
      <c r="R54" s="523">
        <v>1</v>
      </c>
      <c r="S54" s="523">
        <v>0.9</v>
      </c>
      <c r="T54" s="523"/>
      <c r="U54" s="523">
        <v>0.85</v>
      </c>
      <c r="V54" s="523"/>
      <c r="W54" s="523"/>
      <c r="X54" s="523"/>
      <c r="Y54" s="523"/>
      <c r="Z54" s="523"/>
      <c r="AA54" s="523">
        <v>0.93</v>
      </c>
      <c r="AB54" s="523"/>
      <c r="AC54" s="523">
        <v>1</v>
      </c>
      <c r="AD54" s="523">
        <v>1</v>
      </c>
      <c r="AE54" s="523"/>
      <c r="AF54" s="523"/>
      <c r="AG54" s="523">
        <v>1</v>
      </c>
      <c r="AH54" s="523">
        <v>1</v>
      </c>
      <c r="AI54" s="523"/>
      <c r="AJ54" s="523"/>
      <c r="AK54" s="523">
        <v>1</v>
      </c>
      <c r="AL54" s="523">
        <v>1</v>
      </c>
      <c r="AM54" s="523"/>
      <c r="AN54" s="523"/>
      <c r="AO54" s="523"/>
      <c r="AP54" s="523"/>
      <c r="AQ54" s="523"/>
    </row>
    <row r="55" spans="1:43" ht="12.75">
      <c r="A55" s="523" t="s">
        <v>465</v>
      </c>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c r="AO55" s="523"/>
      <c r="AP55" s="523"/>
      <c r="AQ55" s="523"/>
    </row>
    <row r="56" spans="1:43" ht="12.75">
      <c r="A56" s="523" t="s">
        <v>466</v>
      </c>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row>
    <row r="57" spans="1:43" ht="12.75">
      <c r="A57" s="523" t="s">
        <v>467</v>
      </c>
      <c r="B57" s="523"/>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row>
    <row r="58" spans="1:43" ht="12.75">
      <c r="A58" s="523" t="s">
        <v>468</v>
      </c>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row>
    <row r="59" spans="1:43" ht="12.75">
      <c r="A59" s="523" t="s">
        <v>469</v>
      </c>
      <c r="B59" s="523"/>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49"/>
      <c r="AP59" s="549"/>
      <c r="AQ59" s="549"/>
    </row>
    <row r="60" spans="1:43" ht="12.75">
      <c r="A60" s="523" t="s">
        <v>470</v>
      </c>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49"/>
      <c r="AP60" s="549"/>
      <c r="AQ60" s="549"/>
    </row>
    <row r="61" spans="1:43" ht="12.75">
      <c r="A61" s="523" t="s">
        <v>471</v>
      </c>
      <c r="B61" s="523"/>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49"/>
      <c r="AP61" s="549"/>
      <c r="AQ61" s="549"/>
    </row>
    <row r="62" spans="1:43" ht="12.75">
      <c r="A62" s="523" t="s">
        <v>472</v>
      </c>
      <c r="B62" s="523"/>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49"/>
      <c r="AP62" s="549"/>
      <c r="AQ62" s="549"/>
    </row>
    <row r="63" spans="1:43" ht="12.75">
      <c r="A63" s="523" t="s">
        <v>473</v>
      </c>
      <c r="B63" s="523"/>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49"/>
      <c r="AP63" s="549"/>
      <c r="AQ63" s="549"/>
    </row>
    <row r="64" spans="1:43" ht="12.75">
      <c r="A64" s="523" t="s">
        <v>474</v>
      </c>
      <c r="B64" s="523"/>
      <c r="C64" s="523"/>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49"/>
      <c r="AP64" s="549"/>
      <c r="AQ64" s="549"/>
    </row>
    <row r="65" spans="1:43" ht="12.75">
      <c r="A65" s="523" t="s">
        <v>475</v>
      </c>
      <c r="B65" s="523"/>
      <c r="C65" s="523"/>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49"/>
      <c r="AP65" s="549"/>
      <c r="AQ65" s="549"/>
    </row>
    <row r="66" spans="1:43" ht="12.75">
      <c r="A66" s="523" t="s">
        <v>476</v>
      </c>
      <c r="B66" s="523"/>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49"/>
      <c r="AP66" s="549"/>
      <c r="AQ66" s="549"/>
    </row>
    <row r="67" spans="1:43" ht="12.75">
      <c r="A67" s="523" t="s">
        <v>477</v>
      </c>
      <c r="B67" s="523"/>
      <c r="C67" s="523"/>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49"/>
      <c r="AP67" s="549"/>
      <c r="AQ67" s="549"/>
    </row>
    <row r="68" spans="1:43" ht="12.75">
      <c r="A68" s="523" t="s">
        <v>478</v>
      </c>
      <c r="B68" s="523"/>
      <c r="C68" s="523"/>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c r="AJ68" s="523"/>
      <c r="AK68" s="523"/>
      <c r="AL68" s="523"/>
      <c r="AM68" s="523"/>
      <c r="AN68" s="523"/>
      <c r="AO68" s="549"/>
      <c r="AP68" s="549"/>
      <c r="AQ68" s="549"/>
    </row>
    <row r="69" spans="1:43" ht="12.75">
      <c r="A69" s="523" t="s">
        <v>479</v>
      </c>
      <c r="B69" s="523"/>
      <c r="C69" s="523"/>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3"/>
      <c r="AD69" s="523"/>
      <c r="AE69" s="523"/>
      <c r="AF69" s="523"/>
      <c r="AG69" s="523"/>
      <c r="AH69" s="523"/>
      <c r="AI69" s="523"/>
      <c r="AJ69" s="523"/>
      <c r="AK69" s="523"/>
      <c r="AL69" s="523"/>
      <c r="AM69" s="523"/>
      <c r="AN69" s="523"/>
      <c r="AO69" s="549"/>
      <c r="AP69" s="549"/>
      <c r="AQ69" s="549"/>
    </row>
    <row r="70" spans="1:43" ht="12.75">
      <c r="A70" s="523" t="s">
        <v>480</v>
      </c>
      <c r="B70" s="523"/>
      <c r="C70" s="523"/>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3"/>
      <c r="AM70" s="523"/>
      <c r="AN70" s="523"/>
      <c r="AO70" s="549"/>
      <c r="AP70" s="549"/>
      <c r="AQ70" s="549"/>
    </row>
    <row r="71" spans="1:43" ht="12.75">
      <c r="A71" s="523" t="s">
        <v>481</v>
      </c>
      <c r="B71" s="523"/>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3"/>
      <c r="AJ71" s="523"/>
      <c r="AK71" s="523"/>
      <c r="AL71" s="523"/>
      <c r="AM71" s="523"/>
      <c r="AN71" s="523"/>
      <c r="AO71" s="549"/>
      <c r="AP71" s="549"/>
      <c r="AQ71" s="549"/>
    </row>
    <row r="72" spans="1:43" ht="12.75">
      <c r="A72" s="523" t="s">
        <v>482</v>
      </c>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49"/>
      <c r="AP72" s="549"/>
      <c r="AQ72" s="549"/>
    </row>
    <row r="73" spans="1:43" ht="12.75">
      <c r="A73" s="523" t="s">
        <v>483</v>
      </c>
      <c r="B73" s="523"/>
      <c r="C73" s="523"/>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c r="AH73" s="523"/>
      <c r="AI73" s="523"/>
      <c r="AJ73" s="523"/>
      <c r="AK73" s="523"/>
      <c r="AL73" s="523"/>
      <c r="AM73" s="523"/>
      <c r="AN73" s="523"/>
      <c r="AO73" s="549"/>
      <c r="AP73" s="549"/>
      <c r="AQ73" s="549"/>
    </row>
    <row r="74" spans="1:43" ht="12.75">
      <c r="A74" s="523" t="s">
        <v>484</v>
      </c>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23"/>
      <c r="AO74" s="549"/>
      <c r="AP74" s="549"/>
      <c r="AQ74" s="549"/>
    </row>
    <row r="75" spans="1:43" s="536" customFormat="1" ht="12.75">
      <c r="A75" s="548" t="s">
        <v>280</v>
      </c>
      <c r="B75" s="548"/>
      <c r="C75" s="548"/>
      <c r="D75" s="548"/>
      <c r="E75" s="548"/>
      <c r="F75" s="548"/>
      <c r="G75" s="548"/>
      <c r="H75" s="548"/>
      <c r="I75" s="548"/>
      <c r="J75" s="548"/>
      <c r="K75" s="548"/>
      <c r="L75" s="548"/>
      <c r="M75" s="548"/>
      <c r="N75" s="548"/>
      <c r="O75" s="548"/>
      <c r="P75" s="548"/>
      <c r="Q75" s="548"/>
      <c r="R75" s="548">
        <v>0.89</v>
      </c>
      <c r="S75" s="548">
        <v>0.69</v>
      </c>
      <c r="T75" s="548"/>
      <c r="U75" s="548"/>
      <c r="V75" s="548"/>
      <c r="W75" s="548"/>
      <c r="X75" s="548"/>
      <c r="Y75" s="548"/>
      <c r="Z75" s="548"/>
      <c r="AA75" s="548"/>
      <c r="AB75" s="548"/>
      <c r="AC75" s="548"/>
      <c r="AD75" s="548"/>
      <c r="AE75" s="548"/>
      <c r="AF75" s="548"/>
      <c r="AG75" s="548"/>
      <c r="AH75" s="548"/>
      <c r="AI75" s="548"/>
      <c r="AJ75" s="548"/>
      <c r="AK75" s="548"/>
      <c r="AL75" s="548"/>
      <c r="AM75" s="548"/>
      <c r="AN75" s="548"/>
      <c r="AO75" s="548"/>
      <c r="AP75" s="548"/>
      <c r="AQ75" s="548"/>
    </row>
    <row r="76" spans="1:43" ht="12.75">
      <c r="A76" s="523" t="s">
        <v>485</v>
      </c>
      <c r="B76" s="523"/>
      <c r="C76" s="523"/>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row>
    <row r="77" spans="1:43" ht="12.75">
      <c r="A77" s="523" t="s">
        <v>281</v>
      </c>
      <c r="B77" s="523"/>
      <c r="C77" s="523"/>
      <c r="D77" s="523"/>
      <c r="E77" s="523"/>
      <c r="F77" s="523"/>
      <c r="G77" s="523"/>
      <c r="H77" s="523"/>
      <c r="I77" s="523"/>
      <c r="J77" s="523"/>
      <c r="K77" s="523"/>
      <c r="L77" s="523"/>
      <c r="M77" s="523"/>
      <c r="N77" s="523"/>
      <c r="O77" s="523"/>
      <c r="P77" s="523"/>
      <c r="Q77" s="523"/>
      <c r="R77" s="523">
        <v>0.89</v>
      </c>
      <c r="S77" s="523">
        <v>0.69</v>
      </c>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row>
    <row r="78" spans="1:43" ht="12.75">
      <c r="A78" s="523" t="s">
        <v>486</v>
      </c>
      <c r="B78" s="523"/>
      <c r="C78" s="523"/>
      <c r="D78" s="523"/>
      <c r="E78" s="523"/>
      <c r="F78" s="523"/>
      <c r="G78" s="523"/>
      <c r="H78" s="523"/>
      <c r="I78" s="523"/>
      <c r="J78" s="523"/>
      <c r="K78" s="523"/>
      <c r="L78" s="523"/>
      <c r="M78" s="523"/>
      <c r="N78" s="523"/>
      <c r="O78" s="523"/>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3"/>
      <c r="AM78" s="523"/>
      <c r="AN78" s="523"/>
      <c r="AO78" s="523"/>
      <c r="AP78" s="523"/>
      <c r="AQ78" s="523"/>
    </row>
    <row r="79" spans="1:43" ht="12.75">
      <c r="A79" s="523" t="s">
        <v>282</v>
      </c>
      <c r="B79" s="523"/>
      <c r="C79" s="523"/>
      <c r="D79" s="523"/>
      <c r="E79" s="523"/>
      <c r="F79" s="523"/>
      <c r="G79" s="523"/>
      <c r="H79" s="523"/>
      <c r="I79" s="523"/>
      <c r="J79" s="523"/>
      <c r="K79" s="523"/>
      <c r="L79" s="523"/>
      <c r="M79" s="523"/>
      <c r="N79" s="523"/>
      <c r="O79" s="523"/>
      <c r="P79" s="523"/>
      <c r="Q79" s="523"/>
      <c r="R79" s="523">
        <v>0.78</v>
      </c>
      <c r="S79" s="523">
        <v>0.69</v>
      </c>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row>
    <row r="80" spans="1:43" ht="12.75">
      <c r="A80" s="523" t="s">
        <v>487</v>
      </c>
      <c r="B80" s="523"/>
      <c r="C80" s="523"/>
      <c r="D80" s="523"/>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row>
    <row r="81" spans="1:43" ht="12.75">
      <c r="A81" s="523" t="s">
        <v>283</v>
      </c>
      <c r="B81" s="523"/>
      <c r="C81" s="523"/>
      <c r="D81" s="523"/>
      <c r="E81" s="523"/>
      <c r="F81" s="523"/>
      <c r="G81" s="523"/>
      <c r="H81" s="523"/>
      <c r="I81" s="523"/>
      <c r="J81" s="523"/>
      <c r="K81" s="523"/>
      <c r="L81" s="523"/>
      <c r="M81" s="523"/>
      <c r="N81" s="523"/>
      <c r="O81" s="523"/>
      <c r="P81" s="523"/>
      <c r="Q81" s="523"/>
      <c r="R81" s="523">
        <v>1</v>
      </c>
      <c r="S81" s="523">
        <v>0.69</v>
      </c>
      <c r="T81" s="523"/>
      <c r="U81" s="523"/>
      <c r="V81" s="523"/>
      <c r="W81" s="523"/>
      <c r="X81" s="523"/>
      <c r="Y81" s="523"/>
      <c r="Z81" s="523"/>
      <c r="AA81" s="523"/>
      <c r="AB81" s="523"/>
      <c r="AC81" s="523"/>
      <c r="AD81" s="523"/>
      <c r="AE81" s="523"/>
      <c r="AF81" s="523"/>
      <c r="AG81" s="523"/>
      <c r="AH81" s="523"/>
      <c r="AI81" s="523"/>
      <c r="AJ81" s="523"/>
      <c r="AK81" s="523"/>
      <c r="AL81" s="523"/>
      <c r="AM81" s="523"/>
      <c r="AN81" s="523"/>
      <c r="AO81" s="523"/>
      <c r="AP81" s="523"/>
      <c r="AQ81" s="523"/>
    </row>
    <row r="82" spans="1:43" ht="12.75">
      <c r="A82" s="523" t="s">
        <v>488</v>
      </c>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c r="AJ82" s="523"/>
      <c r="AK82" s="523"/>
      <c r="AL82" s="523"/>
      <c r="AM82" s="523"/>
      <c r="AN82" s="523"/>
      <c r="AO82" s="523"/>
      <c r="AP82" s="523"/>
      <c r="AQ82" s="523"/>
    </row>
    <row r="83" spans="1:43" ht="12.75">
      <c r="A83" s="523" t="s">
        <v>284</v>
      </c>
      <c r="B83" s="523"/>
      <c r="C83" s="523"/>
      <c r="D83" s="523"/>
      <c r="E83" s="523"/>
      <c r="F83" s="523"/>
      <c r="G83" s="523"/>
      <c r="H83" s="523"/>
      <c r="I83" s="523"/>
      <c r="J83" s="523"/>
      <c r="K83" s="523"/>
      <c r="L83" s="523"/>
      <c r="M83" s="523"/>
      <c r="N83" s="523"/>
      <c r="O83" s="523"/>
      <c r="P83" s="523"/>
      <c r="Q83" s="523"/>
      <c r="R83" s="523">
        <v>0.78</v>
      </c>
      <c r="S83" s="523">
        <v>0.69</v>
      </c>
      <c r="T83" s="523"/>
      <c r="U83" s="523"/>
      <c r="V83" s="523"/>
      <c r="W83" s="523"/>
      <c r="X83" s="523"/>
      <c r="Y83" s="523"/>
      <c r="Z83" s="523"/>
      <c r="AA83" s="523"/>
      <c r="AB83" s="523"/>
      <c r="AC83" s="523"/>
      <c r="AD83" s="523"/>
      <c r="AE83" s="523"/>
      <c r="AF83" s="523"/>
      <c r="AG83" s="523"/>
      <c r="AH83" s="523"/>
      <c r="AI83" s="523"/>
      <c r="AJ83" s="523"/>
      <c r="AK83" s="523"/>
      <c r="AL83" s="523"/>
      <c r="AM83" s="523"/>
      <c r="AN83" s="523"/>
      <c r="AO83" s="523"/>
      <c r="AP83" s="523"/>
      <c r="AQ83" s="523"/>
    </row>
    <row r="84" spans="1:43" ht="12.75">
      <c r="A84" s="523" t="s">
        <v>489</v>
      </c>
      <c r="B84" s="523"/>
      <c r="C84" s="523"/>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c r="AD84" s="523"/>
      <c r="AE84" s="523"/>
      <c r="AF84" s="523"/>
      <c r="AG84" s="523"/>
      <c r="AH84" s="523"/>
      <c r="AI84" s="523"/>
      <c r="AJ84" s="523"/>
      <c r="AK84" s="523"/>
      <c r="AL84" s="523"/>
      <c r="AM84" s="523"/>
      <c r="AN84" s="523"/>
      <c r="AO84" s="523"/>
      <c r="AP84" s="523"/>
      <c r="AQ84" s="523"/>
    </row>
    <row r="85" spans="1:43" ht="12.75">
      <c r="A85" s="523" t="s">
        <v>285</v>
      </c>
      <c r="B85" s="523"/>
      <c r="C85" s="523"/>
      <c r="D85" s="523"/>
      <c r="E85" s="523"/>
      <c r="F85" s="523"/>
      <c r="G85" s="523"/>
      <c r="H85" s="523"/>
      <c r="I85" s="523"/>
      <c r="J85" s="523"/>
      <c r="K85" s="523"/>
      <c r="L85" s="523"/>
      <c r="M85" s="523"/>
      <c r="N85" s="523"/>
      <c r="O85" s="523"/>
      <c r="P85" s="523"/>
      <c r="Q85" s="523"/>
      <c r="R85" s="523">
        <v>0.78</v>
      </c>
      <c r="S85" s="523">
        <v>0.67</v>
      </c>
      <c r="T85" s="523"/>
      <c r="U85" s="523"/>
      <c r="V85" s="523"/>
      <c r="W85" s="523"/>
      <c r="X85" s="523"/>
      <c r="Y85" s="523"/>
      <c r="Z85" s="523"/>
      <c r="AA85" s="523"/>
      <c r="AB85" s="523"/>
      <c r="AC85" s="523"/>
      <c r="AD85" s="523"/>
      <c r="AE85" s="523"/>
      <c r="AF85" s="523"/>
      <c r="AG85" s="523"/>
      <c r="AH85" s="523"/>
      <c r="AI85" s="523"/>
      <c r="AJ85" s="523"/>
      <c r="AK85" s="523"/>
      <c r="AL85" s="523"/>
      <c r="AM85" s="523"/>
      <c r="AN85" s="523"/>
      <c r="AO85" s="523"/>
      <c r="AP85" s="523"/>
      <c r="AQ85" s="523"/>
    </row>
    <row r="86" spans="1:43" ht="12.75">
      <c r="A86" s="523" t="s">
        <v>490</v>
      </c>
      <c r="B86" s="523"/>
      <c r="C86" s="523"/>
      <c r="D86" s="523"/>
      <c r="E86" s="52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c r="AD86" s="523"/>
      <c r="AE86" s="523"/>
      <c r="AF86" s="523"/>
      <c r="AG86" s="523"/>
      <c r="AH86" s="523"/>
      <c r="AI86" s="523"/>
      <c r="AJ86" s="523"/>
      <c r="AK86" s="523"/>
      <c r="AL86" s="523"/>
      <c r="AM86" s="523"/>
      <c r="AN86" s="523"/>
      <c r="AO86" s="523"/>
      <c r="AP86" s="523"/>
      <c r="AQ86" s="523"/>
    </row>
    <row r="87" spans="1:43" ht="12.75">
      <c r="A87" s="523" t="s">
        <v>286</v>
      </c>
      <c r="B87" s="523"/>
      <c r="C87" s="523"/>
      <c r="D87" s="523"/>
      <c r="E87" s="523"/>
      <c r="F87" s="523"/>
      <c r="G87" s="523"/>
      <c r="H87" s="523"/>
      <c r="I87" s="523"/>
      <c r="J87" s="523"/>
      <c r="K87" s="523"/>
      <c r="L87" s="523"/>
      <c r="M87" s="523"/>
      <c r="N87" s="523"/>
      <c r="O87" s="523"/>
      <c r="P87" s="523"/>
      <c r="Q87" s="523"/>
      <c r="R87" s="523">
        <v>0.78</v>
      </c>
      <c r="S87" s="523">
        <v>0.69</v>
      </c>
      <c r="T87" s="523"/>
      <c r="U87" s="523"/>
      <c r="V87" s="523"/>
      <c r="W87" s="523"/>
      <c r="X87" s="523"/>
      <c r="Y87" s="523"/>
      <c r="Z87" s="523"/>
      <c r="AA87" s="523"/>
      <c r="AB87" s="523"/>
      <c r="AC87" s="523"/>
      <c r="AD87" s="523"/>
      <c r="AE87" s="523"/>
      <c r="AF87" s="523"/>
      <c r="AG87" s="523"/>
      <c r="AH87" s="523"/>
      <c r="AI87" s="523"/>
      <c r="AJ87" s="523"/>
      <c r="AK87" s="523"/>
      <c r="AL87" s="523"/>
      <c r="AM87" s="523"/>
      <c r="AN87" s="523"/>
      <c r="AO87" s="523"/>
      <c r="AP87" s="523"/>
      <c r="AQ87" s="523"/>
    </row>
    <row r="88" spans="1:43" ht="12.75">
      <c r="A88" s="523" t="s">
        <v>491</v>
      </c>
      <c r="B88" s="523"/>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3"/>
      <c r="AM88" s="523"/>
      <c r="AN88" s="523"/>
      <c r="AO88" s="523"/>
      <c r="AP88" s="523"/>
      <c r="AQ88" s="523"/>
    </row>
    <row r="89" spans="1:43" ht="12.75">
      <c r="A89" s="523" t="s">
        <v>287</v>
      </c>
      <c r="B89" s="523"/>
      <c r="C89" s="523"/>
      <c r="D89" s="523"/>
      <c r="E89" s="523"/>
      <c r="F89" s="523"/>
      <c r="G89" s="523"/>
      <c r="H89" s="523"/>
      <c r="I89" s="523"/>
      <c r="J89" s="523"/>
      <c r="K89" s="523"/>
      <c r="L89" s="523"/>
      <c r="M89" s="523"/>
      <c r="N89" s="523"/>
      <c r="O89" s="523"/>
      <c r="P89" s="523"/>
      <c r="Q89" s="523"/>
      <c r="R89" s="523">
        <v>0.89</v>
      </c>
      <c r="S89" s="523">
        <v>0.69</v>
      </c>
      <c r="T89" s="523"/>
      <c r="U89" s="523"/>
      <c r="V89" s="523"/>
      <c r="W89" s="523"/>
      <c r="X89" s="523"/>
      <c r="Y89" s="523"/>
      <c r="Z89" s="523"/>
      <c r="AA89" s="523"/>
      <c r="AB89" s="523"/>
      <c r="AC89" s="523"/>
      <c r="AD89" s="523"/>
      <c r="AE89" s="523"/>
      <c r="AF89" s="523"/>
      <c r="AG89" s="523"/>
      <c r="AH89" s="523"/>
      <c r="AI89" s="523"/>
      <c r="AJ89" s="523"/>
      <c r="AK89" s="523"/>
      <c r="AL89" s="523"/>
      <c r="AM89" s="523"/>
      <c r="AN89" s="523"/>
      <c r="AO89" s="549"/>
      <c r="AP89" s="549"/>
      <c r="AQ89" s="549"/>
    </row>
    <row r="90" spans="1:43" ht="12.75">
      <c r="A90" s="523" t="s">
        <v>492</v>
      </c>
      <c r="B90" s="523"/>
      <c r="C90" s="523"/>
      <c r="D90" s="523"/>
      <c r="E90" s="523"/>
      <c r="F90" s="523"/>
      <c r="G90" s="523"/>
      <c r="H90" s="523"/>
      <c r="I90" s="523"/>
      <c r="J90" s="523"/>
      <c r="K90" s="523"/>
      <c r="L90" s="523"/>
      <c r="M90" s="523"/>
      <c r="N90" s="523"/>
      <c r="O90" s="523"/>
      <c r="P90" s="523"/>
      <c r="Q90" s="523"/>
      <c r="R90" s="523"/>
      <c r="S90" s="523"/>
      <c r="T90" s="523"/>
      <c r="U90" s="523"/>
      <c r="V90" s="523"/>
      <c r="W90" s="523"/>
      <c r="X90" s="523"/>
      <c r="Y90" s="523"/>
      <c r="Z90" s="523"/>
      <c r="AA90" s="523"/>
      <c r="AB90" s="523"/>
      <c r="AC90" s="523"/>
      <c r="AD90" s="523"/>
      <c r="AE90" s="523"/>
      <c r="AF90" s="523"/>
      <c r="AG90" s="523"/>
      <c r="AH90" s="523"/>
      <c r="AI90" s="523"/>
      <c r="AJ90" s="523"/>
      <c r="AK90" s="523"/>
      <c r="AL90" s="523"/>
      <c r="AM90" s="523"/>
      <c r="AN90" s="523"/>
      <c r="AO90" s="549"/>
      <c r="AP90" s="549"/>
      <c r="AQ90" s="549"/>
    </row>
    <row r="91" spans="1:43" ht="12.75">
      <c r="A91" s="523" t="s">
        <v>288</v>
      </c>
      <c r="B91" s="523"/>
      <c r="C91" s="523"/>
      <c r="D91" s="523"/>
      <c r="E91" s="523"/>
      <c r="F91" s="523"/>
      <c r="G91" s="523"/>
      <c r="H91" s="523"/>
      <c r="I91" s="523"/>
      <c r="J91" s="523"/>
      <c r="K91" s="523"/>
      <c r="L91" s="523"/>
      <c r="M91" s="523"/>
      <c r="N91" s="523"/>
      <c r="O91" s="523"/>
      <c r="P91" s="523"/>
      <c r="Q91" s="523"/>
      <c r="R91" s="523">
        <v>0.89</v>
      </c>
      <c r="S91" s="523">
        <v>0.69</v>
      </c>
      <c r="T91" s="523"/>
      <c r="U91" s="523"/>
      <c r="V91" s="523"/>
      <c r="W91" s="523"/>
      <c r="X91" s="523"/>
      <c r="Y91" s="523"/>
      <c r="Z91" s="523"/>
      <c r="AA91" s="523"/>
      <c r="AB91" s="523"/>
      <c r="AC91" s="523"/>
      <c r="AD91" s="523"/>
      <c r="AE91" s="523"/>
      <c r="AF91" s="523"/>
      <c r="AG91" s="523"/>
      <c r="AH91" s="523"/>
      <c r="AI91" s="523"/>
      <c r="AJ91" s="523"/>
      <c r="AK91" s="523"/>
      <c r="AL91" s="523"/>
      <c r="AM91" s="523"/>
      <c r="AN91" s="523"/>
      <c r="AO91" s="549"/>
      <c r="AP91" s="549"/>
      <c r="AQ91" s="549"/>
    </row>
    <row r="92" spans="1:43" ht="12.75">
      <c r="A92" s="523" t="s">
        <v>493</v>
      </c>
      <c r="B92" s="523"/>
      <c r="C92" s="523"/>
      <c r="D92" s="523"/>
      <c r="E92" s="523"/>
      <c r="F92" s="523"/>
      <c r="G92" s="523"/>
      <c r="H92" s="523"/>
      <c r="I92" s="523"/>
      <c r="J92" s="523"/>
      <c r="K92" s="523"/>
      <c r="L92" s="523"/>
      <c r="M92" s="523"/>
      <c r="N92" s="523"/>
      <c r="O92" s="523"/>
      <c r="P92" s="523"/>
      <c r="Q92" s="523"/>
      <c r="R92" s="523"/>
      <c r="S92" s="523"/>
      <c r="T92" s="523"/>
      <c r="U92" s="523"/>
      <c r="V92" s="523"/>
      <c r="W92" s="523"/>
      <c r="X92" s="523"/>
      <c r="Y92" s="523"/>
      <c r="Z92" s="523"/>
      <c r="AA92" s="523"/>
      <c r="AB92" s="523"/>
      <c r="AC92" s="523"/>
      <c r="AD92" s="523"/>
      <c r="AE92" s="523"/>
      <c r="AF92" s="523"/>
      <c r="AG92" s="523"/>
      <c r="AH92" s="523"/>
      <c r="AI92" s="523"/>
      <c r="AJ92" s="523"/>
      <c r="AK92" s="523"/>
      <c r="AL92" s="523"/>
      <c r="AM92" s="523"/>
      <c r="AN92" s="523"/>
      <c r="AO92" s="549"/>
      <c r="AP92" s="549"/>
      <c r="AQ92" s="549"/>
    </row>
    <row r="93" spans="1:43" ht="12.75">
      <c r="A93" s="523" t="s">
        <v>289</v>
      </c>
      <c r="B93" s="523"/>
      <c r="C93" s="523"/>
      <c r="D93" s="523"/>
      <c r="E93" s="523"/>
      <c r="F93" s="523"/>
      <c r="G93" s="523"/>
      <c r="H93" s="523"/>
      <c r="I93" s="523"/>
      <c r="J93" s="523"/>
      <c r="K93" s="523"/>
      <c r="L93" s="523"/>
      <c r="M93" s="523"/>
      <c r="N93" s="523"/>
      <c r="O93" s="523"/>
      <c r="P93" s="523"/>
      <c r="Q93" s="523"/>
      <c r="R93" s="523">
        <v>0.89</v>
      </c>
      <c r="S93" s="523">
        <v>0.69</v>
      </c>
      <c r="T93" s="523"/>
      <c r="U93" s="523"/>
      <c r="V93" s="523"/>
      <c r="W93" s="523"/>
      <c r="X93" s="523"/>
      <c r="Y93" s="523"/>
      <c r="Z93" s="523"/>
      <c r="AA93" s="523"/>
      <c r="AB93" s="523"/>
      <c r="AC93" s="523"/>
      <c r="AD93" s="523"/>
      <c r="AE93" s="523"/>
      <c r="AF93" s="523"/>
      <c r="AG93" s="523"/>
      <c r="AH93" s="523"/>
      <c r="AI93" s="523"/>
      <c r="AJ93" s="523"/>
      <c r="AK93" s="523"/>
      <c r="AL93" s="523"/>
      <c r="AM93" s="523"/>
      <c r="AN93" s="523"/>
      <c r="AO93" s="549"/>
      <c r="AP93" s="549"/>
      <c r="AQ93" s="549"/>
    </row>
    <row r="94" spans="1:43" ht="12.75">
      <c r="A94" s="523" t="s">
        <v>494</v>
      </c>
      <c r="B94" s="523"/>
      <c r="C94" s="523"/>
      <c r="D94" s="523"/>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c r="AJ94" s="523"/>
      <c r="AK94" s="523"/>
      <c r="AL94" s="523"/>
      <c r="AM94" s="523"/>
      <c r="AN94" s="523"/>
      <c r="AO94" s="549"/>
      <c r="AP94" s="549"/>
      <c r="AQ94" s="549"/>
    </row>
    <row r="95" spans="1:43" ht="12.75">
      <c r="A95" s="523" t="s">
        <v>290</v>
      </c>
      <c r="B95" s="523"/>
      <c r="C95" s="523"/>
      <c r="D95" s="523"/>
      <c r="E95" s="523"/>
      <c r="F95" s="523"/>
      <c r="G95" s="523"/>
      <c r="H95" s="523"/>
      <c r="I95" s="523"/>
      <c r="J95" s="523"/>
      <c r="K95" s="523"/>
      <c r="L95" s="523"/>
      <c r="M95" s="523"/>
      <c r="N95" s="523"/>
      <c r="O95" s="523"/>
      <c r="P95" s="523"/>
      <c r="Q95" s="523"/>
      <c r="R95" s="523">
        <v>0.78</v>
      </c>
      <c r="S95" s="523">
        <v>0.69</v>
      </c>
      <c r="T95" s="523"/>
      <c r="U95" s="523"/>
      <c r="V95" s="523"/>
      <c r="W95" s="523"/>
      <c r="X95" s="523"/>
      <c r="Y95" s="523"/>
      <c r="Z95" s="523"/>
      <c r="AA95" s="523"/>
      <c r="AB95" s="523"/>
      <c r="AC95" s="523"/>
      <c r="AD95" s="523"/>
      <c r="AE95" s="523"/>
      <c r="AF95" s="523"/>
      <c r="AG95" s="523"/>
      <c r="AH95" s="523"/>
      <c r="AI95" s="523"/>
      <c r="AJ95" s="523"/>
      <c r="AK95" s="523"/>
      <c r="AL95" s="523"/>
      <c r="AM95" s="523"/>
      <c r="AN95" s="523"/>
      <c r="AO95" s="549"/>
      <c r="AP95" s="549"/>
      <c r="AQ95" s="549"/>
    </row>
    <row r="96" spans="1:43" ht="12.75">
      <c r="A96" s="523" t="s">
        <v>495</v>
      </c>
      <c r="B96" s="523"/>
      <c r="C96" s="523"/>
      <c r="D96" s="523"/>
      <c r="E96" s="523"/>
      <c r="F96" s="523"/>
      <c r="G96" s="523"/>
      <c r="H96" s="523"/>
      <c r="I96" s="523"/>
      <c r="J96" s="523"/>
      <c r="K96" s="523"/>
      <c r="L96" s="523"/>
      <c r="M96" s="523"/>
      <c r="N96" s="523"/>
      <c r="O96" s="523"/>
      <c r="P96" s="523"/>
      <c r="Q96" s="523"/>
      <c r="R96" s="523"/>
      <c r="S96" s="523"/>
      <c r="T96" s="523"/>
      <c r="U96" s="523"/>
      <c r="V96" s="523"/>
      <c r="W96" s="523"/>
      <c r="X96" s="523"/>
      <c r="Y96" s="523"/>
      <c r="Z96" s="523"/>
      <c r="AA96" s="523"/>
      <c r="AB96" s="523"/>
      <c r="AC96" s="523"/>
      <c r="AD96" s="523"/>
      <c r="AE96" s="523"/>
      <c r="AF96" s="523"/>
      <c r="AG96" s="523"/>
      <c r="AH96" s="523"/>
      <c r="AI96" s="523"/>
      <c r="AJ96" s="523"/>
      <c r="AK96" s="523"/>
      <c r="AL96" s="523"/>
      <c r="AM96" s="523"/>
      <c r="AN96" s="523"/>
      <c r="AO96" s="549"/>
      <c r="AP96" s="549"/>
      <c r="AQ96" s="549"/>
    </row>
    <row r="97" spans="1:43" ht="12.75">
      <c r="A97" s="523" t="s">
        <v>291</v>
      </c>
      <c r="B97" s="523"/>
      <c r="C97" s="523"/>
      <c r="D97" s="523"/>
      <c r="E97" s="523"/>
      <c r="F97" s="523"/>
      <c r="G97" s="523"/>
      <c r="H97" s="523"/>
      <c r="I97" s="523"/>
      <c r="J97" s="523"/>
      <c r="K97" s="523"/>
      <c r="L97" s="523"/>
      <c r="M97" s="523"/>
      <c r="N97" s="523"/>
      <c r="O97" s="523"/>
      <c r="P97" s="523"/>
      <c r="Q97" s="523"/>
      <c r="R97" s="523">
        <v>0.78</v>
      </c>
      <c r="S97" s="523">
        <v>0.69</v>
      </c>
      <c r="T97" s="523"/>
      <c r="U97" s="523"/>
      <c r="V97" s="523"/>
      <c r="W97" s="523"/>
      <c r="X97" s="523"/>
      <c r="Y97" s="523"/>
      <c r="Z97" s="523"/>
      <c r="AA97" s="523"/>
      <c r="AB97" s="523"/>
      <c r="AC97" s="523"/>
      <c r="AD97" s="523"/>
      <c r="AE97" s="523"/>
      <c r="AF97" s="523"/>
      <c r="AG97" s="523"/>
      <c r="AH97" s="523"/>
      <c r="AI97" s="523"/>
      <c r="AJ97" s="523"/>
      <c r="AK97" s="523"/>
      <c r="AL97" s="523"/>
      <c r="AM97" s="523"/>
      <c r="AN97" s="523"/>
      <c r="AO97" s="549"/>
      <c r="AP97" s="549"/>
      <c r="AQ97" s="549"/>
    </row>
    <row r="98" spans="1:43" ht="12.75">
      <c r="A98" s="523" t="s">
        <v>496</v>
      </c>
      <c r="B98" s="523"/>
      <c r="C98" s="523"/>
      <c r="D98" s="523"/>
      <c r="E98" s="523"/>
      <c r="F98" s="523"/>
      <c r="G98" s="523"/>
      <c r="H98" s="523"/>
      <c r="I98" s="523"/>
      <c r="J98" s="523"/>
      <c r="K98" s="523"/>
      <c r="L98" s="523"/>
      <c r="M98" s="523"/>
      <c r="N98" s="523"/>
      <c r="O98" s="523"/>
      <c r="P98" s="523"/>
      <c r="Q98" s="523"/>
      <c r="R98" s="523"/>
      <c r="S98" s="523"/>
      <c r="T98" s="523"/>
      <c r="U98" s="523"/>
      <c r="V98" s="523"/>
      <c r="W98" s="523"/>
      <c r="X98" s="523"/>
      <c r="Y98" s="523"/>
      <c r="Z98" s="523"/>
      <c r="AA98" s="523"/>
      <c r="AB98" s="523"/>
      <c r="AC98" s="523"/>
      <c r="AD98" s="523"/>
      <c r="AE98" s="523"/>
      <c r="AF98" s="523"/>
      <c r="AG98" s="523"/>
      <c r="AH98" s="523"/>
      <c r="AI98" s="523"/>
      <c r="AJ98" s="523"/>
      <c r="AK98" s="523"/>
      <c r="AL98" s="523"/>
      <c r="AM98" s="523"/>
      <c r="AN98" s="523"/>
      <c r="AO98" s="549"/>
      <c r="AP98" s="549"/>
      <c r="AQ98" s="549"/>
    </row>
    <row r="99" spans="1:43" s="536" customFormat="1" ht="12.75">
      <c r="A99" s="548" t="s">
        <v>270</v>
      </c>
      <c r="B99" s="548"/>
      <c r="C99" s="548"/>
      <c r="D99" s="548"/>
      <c r="E99" s="548"/>
      <c r="F99" s="548"/>
      <c r="G99" s="548"/>
      <c r="H99" s="548"/>
      <c r="I99" s="548"/>
      <c r="J99" s="548"/>
      <c r="K99" s="548"/>
      <c r="L99" s="548"/>
      <c r="M99" s="548"/>
      <c r="N99" s="548"/>
      <c r="O99" s="548"/>
      <c r="P99" s="548"/>
      <c r="Q99" s="548"/>
      <c r="R99" s="548">
        <v>0.93</v>
      </c>
      <c r="S99" s="548">
        <v>1</v>
      </c>
      <c r="T99" s="548"/>
      <c r="U99" s="548">
        <v>0.83</v>
      </c>
      <c r="V99" s="548"/>
      <c r="W99" s="548"/>
      <c r="X99" s="548"/>
      <c r="Y99" s="548"/>
      <c r="Z99" s="548"/>
      <c r="AA99" s="548"/>
      <c r="AB99" s="548"/>
      <c r="AC99" s="548"/>
      <c r="AD99" s="548"/>
      <c r="AE99" s="548"/>
      <c r="AF99" s="548"/>
      <c r="AG99" s="548"/>
      <c r="AH99" s="548"/>
      <c r="AI99" s="548"/>
      <c r="AJ99" s="548"/>
      <c r="AK99" s="548"/>
      <c r="AL99" s="548"/>
      <c r="AM99" s="548"/>
      <c r="AN99" s="548"/>
      <c r="AO99" s="548"/>
      <c r="AP99" s="548"/>
      <c r="AQ99" s="548"/>
    </row>
    <row r="100" spans="1:43" ht="12.75">
      <c r="A100" s="523" t="s">
        <v>271</v>
      </c>
      <c r="B100" s="523"/>
      <c r="C100" s="523"/>
      <c r="D100" s="523"/>
      <c r="E100" s="523"/>
      <c r="F100" s="523"/>
      <c r="G100" s="523"/>
      <c r="H100" s="523"/>
      <c r="I100" s="523"/>
      <c r="J100" s="523"/>
      <c r="K100" s="523"/>
      <c r="L100" s="523"/>
      <c r="M100" s="523"/>
      <c r="N100" s="523"/>
      <c r="O100" s="523"/>
      <c r="P100" s="523"/>
      <c r="Q100" s="523"/>
      <c r="R100" s="523">
        <v>0.93</v>
      </c>
      <c r="S100" s="523">
        <v>1</v>
      </c>
      <c r="T100" s="523"/>
      <c r="U100" s="523">
        <v>0.83</v>
      </c>
      <c r="V100" s="523"/>
      <c r="W100" s="523"/>
      <c r="X100" s="523"/>
      <c r="Y100" s="523"/>
      <c r="Z100" s="523"/>
      <c r="AA100" s="523"/>
      <c r="AB100" s="523"/>
      <c r="AC100" s="523"/>
      <c r="AD100" s="523"/>
      <c r="AE100" s="523"/>
      <c r="AF100" s="523"/>
      <c r="AG100" s="523"/>
      <c r="AH100" s="523"/>
      <c r="AI100" s="523"/>
      <c r="AJ100" s="523"/>
      <c r="AK100" s="523"/>
      <c r="AL100" s="523"/>
      <c r="AM100" s="523"/>
      <c r="AN100" s="523"/>
      <c r="AO100" s="523"/>
      <c r="AP100" s="523"/>
      <c r="AQ100" s="523"/>
    </row>
    <row r="101" spans="1:43" ht="12.75">
      <c r="A101" s="523" t="s">
        <v>272</v>
      </c>
      <c r="B101" s="523"/>
      <c r="C101" s="523"/>
      <c r="D101" s="523"/>
      <c r="E101" s="523"/>
      <c r="F101" s="523"/>
      <c r="G101" s="523"/>
      <c r="H101" s="523"/>
      <c r="I101" s="523"/>
      <c r="J101" s="523"/>
      <c r="K101" s="523"/>
      <c r="L101" s="523"/>
      <c r="M101" s="523"/>
      <c r="N101" s="523"/>
      <c r="O101" s="523"/>
      <c r="P101" s="523"/>
      <c r="Q101" s="523"/>
      <c r="R101" s="523">
        <v>0.93</v>
      </c>
      <c r="S101" s="523">
        <v>1</v>
      </c>
      <c r="T101" s="523"/>
      <c r="U101" s="523">
        <v>0.83</v>
      </c>
      <c r="V101" s="523"/>
      <c r="W101" s="523"/>
      <c r="X101" s="523"/>
      <c r="Y101" s="523"/>
      <c r="Z101" s="523"/>
      <c r="AA101" s="523"/>
      <c r="AB101" s="523"/>
      <c r="AC101" s="523"/>
      <c r="AD101" s="523"/>
      <c r="AE101" s="523"/>
      <c r="AF101" s="523"/>
      <c r="AG101" s="523"/>
      <c r="AH101" s="523"/>
      <c r="AI101" s="523"/>
      <c r="AJ101" s="523"/>
      <c r="AK101" s="523"/>
      <c r="AL101" s="523"/>
      <c r="AM101" s="523"/>
      <c r="AN101" s="523"/>
      <c r="AO101" s="523"/>
      <c r="AP101" s="523"/>
      <c r="AQ101" s="523"/>
    </row>
    <row r="102" spans="1:43" ht="12.75">
      <c r="A102" s="523" t="s">
        <v>273</v>
      </c>
      <c r="B102" s="523"/>
      <c r="C102" s="523"/>
      <c r="D102" s="523"/>
      <c r="E102" s="523"/>
      <c r="F102" s="523"/>
      <c r="G102" s="523"/>
      <c r="H102" s="523"/>
      <c r="I102" s="523"/>
      <c r="J102" s="523"/>
      <c r="K102" s="523"/>
      <c r="L102" s="523"/>
      <c r="M102" s="523"/>
      <c r="N102" s="523"/>
      <c r="O102" s="523"/>
      <c r="P102" s="523"/>
      <c r="Q102" s="523"/>
      <c r="R102" s="523">
        <v>0.93</v>
      </c>
      <c r="S102" s="523">
        <v>1</v>
      </c>
      <c r="T102" s="523"/>
      <c r="U102" s="523">
        <v>0.83</v>
      </c>
      <c r="V102" s="523"/>
      <c r="W102" s="523"/>
      <c r="X102" s="523"/>
      <c r="Y102" s="523"/>
      <c r="Z102" s="523"/>
      <c r="AA102" s="523"/>
      <c r="AB102" s="523"/>
      <c r="AC102" s="523"/>
      <c r="AD102" s="523"/>
      <c r="AE102" s="523"/>
      <c r="AF102" s="523"/>
      <c r="AG102" s="523"/>
      <c r="AH102" s="523"/>
      <c r="AI102" s="523"/>
      <c r="AJ102" s="523"/>
      <c r="AK102" s="523"/>
      <c r="AL102" s="523"/>
      <c r="AM102" s="523"/>
      <c r="AN102" s="523"/>
      <c r="AO102" s="523"/>
      <c r="AP102" s="523"/>
      <c r="AQ102" s="523"/>
    </row>
    <row r="103" spans="1:43" ht="12.75">
      <c r="A103" s="523" t="s">
        <v>274</v>
      </c>
      <c r="B103" s="523"/>
      <c r="C103" s="523"/>
      <c r="D103" s="523"/>
      <c r="E103" s="523"/>
      <c r="F103" s="523"/>
      <c r="G103" s="523"/>
      <c r="H103" s="523"/>
      <c r="I103" s="523"/>
      <c r="J103" s="523"/>
      <c r="K103" s="523"/>
      <c r="L103" s="523"/>
      <c r="M103" s="523"/>
      <c r="N103" s="523"/>
      <c r="O103" s="523"/>
      <c r="P103" s="523"/>
      <c r="Q103" s="523"/>
      <c r="R103" s="523">
        <v>0.93</v>
      </c>
      <c r="S103" s="523">
        <v>1</v>
      </c>
      <c r="T103" s="523"/>
      <c r="U103" s="523">
        <v>0.83</v>
      </c>
      <c r="V103" s="523"/>
      <c r="W103" s="523"/>
      <c r="X103" s="523"/>
      <c r="Y103" s="523"/>
      <c r="Z103" s="523"/>
      <c r="AA103" s="523"/>
      <c r="AB103" s="523"/>
      <c r="AC103" s="523"/>
      <c r="AD103" s="523"/>
      <c r="AE103" s="523"/>
      <c r="AF103" s="523"/>
      <c r="AG103" s="523"/>
      <c r="AH103" s="523"/>
      <c r="AI103" s="523"/>
      <c r="AJ103" s="523"/>
      <c r="AK103" s="523"/>
      <c r="AL103" s="523"/>
      <c r="AM103" s="523"/>
      <c r="AN103" s="523"/>
      <c r="AO103" s="523"/>
      <c r="AP103" s="523"/>
      <c r="AQ103" s="523"/>
    </row>
    <row r="104" spans="1:43" ht="12.75">
      <c r="A104" s="523" t="s">
        <v>275</v>
      </c>
      <c r="B104" s="523"/>
      <c r="C104" s="523"/>
      <c r="D104" s="523"/>
      <c r="E104" s="523"/>
      <c r="F104" s="523"/>
      <c r="G104" s="523"/>
      <c r="H104" s="523"/>
      <c r="I104" s="523"/>
      <c r="J104" s="523"/>
      <c r="K104" s="523"/>
      <c r="L104" s="523"/>
      <c r="M104" s="523"/>
      <c r="N104" s="523"/>
      <c r="O104" s="523"/>
      <c r="P104" s="523"/>
      <c r="Q104" s="523"/>
      <c r="R104" s="523">
        <v>0.93</v>
      </c>
      <c r="S104" s="523">
        <v>1</v>
      </c>
      <c r="T104" s="523"/>
      <c r="U104" s="523">
        <v>0.83</v>
      </c>
      <c r="V104" s="523"/>
      <c r="W104" s="523"/>
      <c r="X104" s="523"/>
      <c r="Y104" s="523"/>
      <c r="Z104" s="523"/>
      <c r="AA104" s="523"/>
      <c r="AB104" s="523"/>
      <c r="AC104" s="523"/>
      <c r="AD104" s="523"/>
      <c r="AE104" s="523"/>
      <c r="AF104" s="523"/>
      <c r="AG104" s="523"/>
      <c r="AH104" s="523"/>
      <c r="AI104" s="523"/>
      <c r="AJ104" s="523"/>
      <c r="AK104" s="523"/>
      <c r="AL104" s="523"/>
      <c r="AM104" s="523"/>
      <c r="AN104" s="523"/>
      <c r="AO104" s="523"/>
      <c r="AP104" s="523"/>
      <c r="AQ104" s="523"/>
    </row>
    <row r="105" spans="1:43" ht="12.75">
      <c r="A105" s="523" t="s">
        <v>276</v>
      </c>
      <c r="B105" s="523"/>
      <c r="C105" s="523"/>
      <c r="D105" s="523"/>
      <c r="E105" s="523"/>
      <c r="F105" s="523"/>
      <c r="G105" s="523"/>
      <c r="H105" s="523"/>
      <c r="I105" s="523"/>
      <c r="J105" s="523"/>
      <c r="K105" s="523"/>
      <c r="L105" s="523"/>
      <c r="M105" s="523"/>
      <c r="N105" s="523"/>
      <c r="O105" s="523"/>
      <c r="P105" s="523"/>
      <c r="Q105" s="523"/>
      <c r="R105" s="523">
        <v>0.93</v>
      </c>
      <c r="S105" s="523">
        <v>1</v>
      </c>
      <c r="T105" s="523"/>
      <c r="U105" s="523">
        <v>0.83</v>
      </c>
      <c r="V105" s="523"/>
      <c r="W105" s="523"/>
      <c r="X105" s="523"/>
      <c r="Y105" s="523"/>
      <c r="Z105" s="523"/>
      <c r="AA105" s="523"/>
      <c r="AB105" s="523"/>
      <c r="AC105" s="523"/>
      <c r="AD105" s="523"/>
      <c r="AE105" s="523"/>
      <c r="AF105" s="523"/>
      <c r="AG105" s="523"/>
      <c r="AH105" s="523"/>
      <c r="AI105" s="523"/>
      <c r="AJ105" s="523"/>
      <c r="AK105" s="523"/>
      <c r="AL105" s="523"/>
      <c r="AM105" s="523"/>
      <c r="AN105" s="523"/>
      <c r="AO105" s="523"/>
      <c r="AP105" s="523"/>
      <c r="AQ105" s="523"/>
    </row>
    <row r="106" spans="1:43" ht="12.75">
      <c r="A106" s="523" t="s">
        <v>277</v>
      </c>
      <c r="B106" s="523"/>
      <c r="C106" s="523"/>
      <c r="D106" s="523"/>
      <c r="E106" s="523"/>
      <c r="F106" s="523"/>
      <c r="G106" s="523"/>
      <c r="H106" s="523"/>
      <c r="I106" s="523"/>
      <c r="J106" s="523"/>
      <c r="K106" s="523"/>
      <c r="L106" s="523"/>
      <c r="M106" s="523"/>
      <c r="N106" s="523"/>
      <c r="O106" s="523"/>
      <c r="P106" s="523"/>
      <c r="Q106" s="523"/>
      <c r="R106" s="523">
        <v>0.93</v>
      </c>
      <c r="S106" s="523">
        <v>1</v>
      </c>
      <c r="T106" s="523"/>
      <c r="U106" s="523">
        <v>0.83</v>
      </c>
      <c r="V106" s="523"/>
      <c r="W106" s="523"/>
      <c r="X106" s="523"/>
      <c r="Y106" s="523"/>
      <c r="Z106" s="523"/>
      <c r="AA106" s="523"/>
      <c r="AB106" s="523"/>
      <c r="AC106" s="523"/>
      <c r="AD106" s="523"/>
      <c r="AE106" s="523"/>
      <c r="AF106" s="523"/>
      <c r="AG106" s="523"/>
      <c r="AH106" s="523"/>
      <c r="AI106" s="523"/>
      <c r="AJ106" s="523"/>
      <c r="AK106" s="523"/>
      <c r="AL106" s="523"/>
      <c r="AM106" s="523"/>
      <c r="AN106" s="523"/>
      <c r="AO106" s="523"/>
      <c r="AP106" s="523"/>
      <c r="AQ106" s="523"/>
    </row>
    <row r="107" spans="1:43" ht="12.75">
      <c r="A107" s="523" t="s">
        <v>278</v>
      </c>
      <c r="B107" s="523"/>
      <c r="C107" s="523"/>
      <c r="D107" s="523"/>
      <c r="E107" s="523"/>
      <c r="F107" s="523"/>
      <c r="G107" s="523"/>
      <c r="H107" s="523"/>
      <c r="I107" s="523"/>
      <c r="J107" s="523"/>
      <c r="K107" s="523"/>
      <c r="L107" s="523"/>
      <c r="M107" s="523"/>
      <c r="N107" s="523"/>
      <c r="O107" s="523"/>
      <c r="P107" s="523"/>
      <c r="Q107" s="523"/>
      <c r="R107" s="523">
        <v>0.93</v>
      </c>
      <c r="S107" s="523">
        <v>1</v>
      </c>
      <c r="T107" s="523"/>
      <c r="U107" s="523">
        <v>0.83</v>
      </c>
      <c r="V107" s="523"/>
      <c r="W107" s="523"/>
      <c r="X107" s="523"/>
      <c r="Y107" s="523"/>
      <c r="Z107" s="523"/>
      <c r="AA107" s="523"/>
      <c r="AB107" s="523"/>
      <c r="AC107" s="523"/>
      <c r="AD107" s="523"/>
      <c r="AE107" s="523"/>
      <c r="AF107" s="523"/>
      <c r="AG107" s="523"/>
      <c r="AH107" s="523"/>
      <c r="AI107" s="523"/>
      <c r="AJ107" s="523"/>
      <c r="AK107" s="523"/>
      <c r="AL107" s="523"/>
      <c r="AM107" s="523"/>
      <c r="AN107" s="523"/>
      <c r="AO107" s="523"/>
      <c r="AP107" s="523"/>
      <c r="AQ107" s="523"/>
    </row>
    <row r="108" spans="1:43" ht="12.75">
      <c r="A108" s="523" t="s">
        <v>279</v>
      </c>
      <c r="B108" s="523"/>
      <c r="C108" s="523"/>
      <c r="D108" s="523"/>
      <c r="E108" s="523"/>
      <c r="F108" s="523"/>
      <c r="G108" s="523"/>
      <c r="H108" s="523"/>
      <c r="I108" s="523"/>
      <c r="J108" s="523"/>
      <c r="K108" s="523"/>
      <c r="L108" s="523"/>
      <c r="M108" s="523"/>
      <c r="N108" s="523"/>
      <c r="O108" s="523"/>
      <c r="P108" s="523"/>
      <c r="Q108" s="523"/>
      <c r="R108" s="523">
        <v>0.93</v>
      </c>
      <c r="S108" s="523">
        <v>1</v>
      </c>
      <c r="T108" s="523"/>
      <c r="U108" s="523">
        <v>0.83</v>
      </c>
      <c r="V108" s="523"/>
      <c r="W108" s="523"/>
      <c r="X108" s="523"/>
      <c r="Y108" s="523"/>
      <c r="Z108" s="523"/>
      <c r="AA108" s="523"/>
      <c r="AB108" s="523"/>
      <c r="AC108" s="523"/>
      <c r="AD108" s="523"/>
      <c r="AE108" s="523"/>
      <c r="AF108" s="523"/>
      <c r="AG108" s="523"/>
      <c r="AH108" s="523"/>
      <c r="AI108" s="523"/>
      <c r="AJ108" s="523"/>
      <c r="AK108" s="523"/>
      <c r="AL108" s="523"/>
      <c r="AM108" s="523"/>
      <c r="AN108" s="523"/>
      <c r="AO108" s="523"/>
      <c r="AP108" s="523"/>
      <c r="AQ108" s="523"/>
    </row>
    <row r="109" spans="1:43" ht="12.75">
      <c r="A109" s="523" t="s">
        <v>497</v>
      </c>
      <c r="B109" s="523"/>
      <c r="C109" s="523"/>
      <c r="D109" s="523"/>
      <c r="E109" s="523"/>
      <c r="F109" s="523"/>
      <c r="G109" s="523"/>
      <c r="H109" s="523"/>
      <c r="I109" s="523"/>
      <c r="J109" s="523"/>
      <c r="K109" s="523"/>
      <c r="L109" s="523"/>
      <c r="M109" s="523"/>
      <c r="N109" s="523"/>
      <c r="O109" s="523"/>
      <c r="P109" s="523"/>
      <c r="Q109" s="523"/>
      <c r="R109" s="523"/>
      <c r="S109" s="523"/>
      <c r="T109" s="523"/>
      <c r="U109" s="523"/>
      <c r="V109" s="523"/>
      <c r="W109" s="523"/>
      <c r="X109" s="523"/>
      <c r="Y109" s="523"/>
      <c r="Z109" s="523"/>
      <c r="AA109" s="523"/>
      <c r="AB109" s="523"/>
      <c r="AC109" s="523"/>
      <c r="AD109" s="523"/>
      <c r="AE109" s="523"/>
      <c r="AF109" s="523"/>
      <c r="AG109" s="523"/>
      <c r="AH109" s="523"/>
      <c r="AI109" s="523"/>
      <c r="AJ109" s="523"/>
      <c r="AK109" s="523"/>
      <c r="AL109" s="523"/>
      <c r="AM109" s="523"/>
      <c r="AN109" s="523"/>
      <c r="AO109" s="523"/>
      <c r="AP109" s="523"/>
      <c r="AQ109" s="523"/>
    </row>
    <row r="110" spans="1:43" ht="12.75">
      <c r="A110" s="523" t="s">
        <v>498</v>
      </c>
      <c r="B110" s="523"/>
      <c r="C110" s="523"/>
      <c r="D110" s="523"/>
      <c r="E110" s="523"/>
      <c r="F110" s="523"/>
      <c r="G110" s="523"/>
      <c r="H110" s="523"/>
      <c r="I110" s="523"/>
      <c r="J110" s="523"/>
      <c r="K110" s="523"/>
      <c r="L110" s="523"/>
      <c r="M110" s="523"/>
      <c r="N110" s="523"/>
      <c r="O110" s="523"/>
      <c r="P110" s="523"/>
      <c r="Q110" s="523"/>
      <c r="R110" s="523"/>
      <c r="S110" s="523"/>
      <c r="T110" s="523"/>
      <c r="U110" s="523"/>
      <c r="V110" s="523"/>
      <c r="W110" s="523"/>
      <c r="X110" s="523"/>
      <c r="Y110" s="523"/>
      <c r="Z110" s="523"/>
      <c r="AA110" s="523"/>
      <c r="AB110" s="523"/>
      <c r="AC110" s="523"/>
      <c r="AD110" s="523"/>
      <c r="AE110" s="523"/>
      <c r="AF110" s="523"/>
      <c r="AG110" s="523"/>
      <c r="AH110" s="523"/>
      <c r="AI110" s="523"/>
      <c r="AJ110" s="523"/>
      <c r="AK110" s="523"/>
      <c r="AL110" s="523"/>
      <c r="AM110" s="523"/>
      <c r="AN110" s="523"/>
      <c r="AO110" s="523"/>
      <c r="AP110" s="523"/>
      <c r="AQ110" s="523"/>
    </row>
    <row r="111" spans="1:43" ht="12.75">
      <c r="A111" s="523" t="s">
        <v>499</v>
      </c>
      <c r="B111" s="523"/>
      <c r="C111" s="523"/>
      <c r="D111" s="523"/>
      <c r="E111" s="523"/>
      <c r="F111" s="523"/>
      <c r="G111" s="523"/>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row>
    <row r="112" spans="1:43" ht="12.75">
      <c r="A112" s="523" t="s">
        <v>500</v>
      </c>
      <c r="B112" s="523"/>
      <c r="C112" s="523"/>
      <c r="D112" s="523"/>
      <c r="E112" s="523"/>
      <c r="F112" s="523"/>
      <c r="G112" s="523"/>
      <c r="H112" s="523"/>
      <c r="I112" s="523"/>
      <c r="J112" s="523"/>
      <c r="K112" s="523"/>
      <c r="L112" s="523"/>
      <c r="M112" s="523"/>
      <c r="N112" s="523"/>
      <c r="O112" s="523"/>
      <c r="P112" s="523"/>
      <c r="Q112" s="523"/>
      <c r="R112" s="523"/>
      <c r="S112" s="523"/>
      <c r="T112" s="523"/>
      <c r="U112" s="523"/>
      <c r="V112" s="523"/>
      <c r="W112" s="523"/>
      <c r="X112" s="523"/>
      <c r="Y112" s="523"/>
      <c r="Z112" s="523"/>
      <c r="AA112" s="523"/>
      <c r="AB112" s="523"/>
      <c r="AC112" s="523"/>
      <c r="AD112" s="523"/>
      <c r="AE112" s="523"/>
      <c r="AF112" s="523"/>
      <c r="AG112" s="523"/>
      <c r="AH112" s="523"/>
      <c r="AI112" s="523"/>
      <c r="AJ112" s="523"/>
      <c r="AK112" s="523"/>
      <c r="AL112" s="523"/>
      <c r="AM112" s="523"/>
      <c r="AN112" s="523"/>
      <c r="AO112" s="523"/>
      <c r="AP112" s="523"/>
      <c r="AQ112" s="523"/>
    </row>
    <row r="113" spans="1:43" ht="12.75">
      <c r="A113" s="523" t="s">
        <v>501</v>
      </c>
      <c r="B113" s="523"/>
      <c r="C113" s="523"/>
      <c r="D113" s="523"/>
      <c r="E113" s="523"/>
      <c r="F113" s="523"/>
      <c r="G113" s="523"/>
      <c r="H113" s="523"/>
      <c r="I113" s="523"/>
      <c r="J113" s="523"/>
      <c r="K113" s="523"/>
      <c r="L113" s="523"/>
      <c r="M113" s="523"/>
      <c r="N113" s="523"/>
      <c r="O113" s="523"/>
      <c r="P113" s="523"/>
      <c r="Q113" s="523"/>
      <c r="R113" s="523"/>
      <c r="S113" s="523"/>
      <c r="T113" s="523"/>
      <c r="U113" s="523"/>
      <c r="V113" s="523"/>
      <c r="W113" s="523"/>
      <c r="X113" s="523"/>
      <c r="Y113" s="523"/>
      <c r="Z113" s="523"/>
      <c r="AA113" s="523"/>
      <c r="AB113" s="523"/>
      <c r="AC113" s="523"/>
      <c r="AD113" s="523"/>
      <c r="AE113" s="523"/>
      <c r="AF113" s="523"/>
      <c r="AG113" s="523"/>
      <c r="AH113" s="523"/>
      <c r="AI113" s="523"/>
      <c r="AJ113" s="523"/>
      <c r="AK113" s="523"/>
      <c r="AL113" s="523"/>
      <c r="AM113" s="523"/>
      <c r="AN113" s="523"/>
      <c r="AO113" s="523"/>
      <c r="AP113" s="523"/>
      <c r="AQ113" s="549"/>
    </row>
    <row r="114" spans="1:43" ht="12.75">
      <c r="A114" s="523" t="s">
        <v>502</v>
      </c>
      <c r="B114" s="523"/>
      <c r="C114" s="523"/>
      <c r="D114" s="523"/>
      <c r="E114" s="523"/>
      <c r="F114" s="523"/>
      <c r="G114" s="523"/>
      <c r="H114" s="523"/>
      <c r="I114" s="523"/>
      <c r="J114" s="523"/>
      <c r="K114" s="523"/>
      <c r="L114" s="523"/>
      <c r="M114" s="523"/>
      <c r="N114" s="523"/>
      <c r="O114" s="523"/>
      <c r="P114" s="523"/>
      <c r="Q114" s="523"/>
      <c r="R114" s="523"/>
      <c r="S114" s="523"/>
      <c r="T114" s="523"/>
      <c r="U114" s="523"/>
      <c r="V114" s="523"/>
      <c r="W114" s="523"/>
      <c r="X114" s="523"/>
      <c r="Y114" s="523"/>
      <c r="Z114" s="523"/>
      <c r="AA114" s="523"/>
      <c r="AB114" s="523"/>
      <c r="AC114" s="523"/>
      <c r="AD114" s="523"/>
      <c r="AE114" s="523"/>
      <c r="AF114" s="523"/>
      <c r="AG114" s="523"/>
      <c r="AH114" s="523"/>
      <c r="AI114" s="523"/>
      <c r="AJ114" s="523"/>
      <c r="AK114" s="523"/>
      <c r="AL114" s="523"/>
      <c r="AM114" s="523"/>
      <c r="AN114" s="523"/>
      <c r="AO114" s="523"/>
      <c r="AP114" s="523"/>
      <c r="AQ114" s="549"/>
    </row>
    <row r="115" spans="1:43" ht="12.75">
      <c r="A115" s="523" t="s">
        <v>503</v>
      </c>
      <c r="B115" s="523"/>
      <c r="C115" s="523"/>
      <c r="D115" s="523"/>
      <c r="E115" s="523"/>
      <c r="F115" s="523"/>
      <c r="G115" s="523"/>
      <c r="H115" s="523"/>
      <c r="I115" s="523"/>
      <c r="J115" s="523"/>
      <c r="K115" s="523"/>
      <c r="L115" s="523"/>
      <c r="M115" s="523"/>
      <c r="N115" s="523"/>
      <c r="O115" s="523"/>
      <c r="P115" s="523"/>
      <c r="Q115" s="523"/>
      <c r="R115" s="523"/>
      <c r="S115" s="523"/>
      <c r="T115" s="523"/>
      <c r="U115" s="523"/>
      <c r="V115" s="523"/>
      <c r="W115" s="523"/>
      <c r="X115" s="523"/>
      <c r="Y115" s="523"/>
      <c r="Z115" s="523"/>
      <c r="AA115" s="523"/>
      <c r="AB115" s="523"/>
      <c r="AC115" s="523"/>
      <c r="AD115" s="523"/>
      <c r="AE115" s="523"/>
      <c r="AF115" s="523"/>
      <c r="AG115" s="523"/>
      <c r="AH115" s="523"/>
      <c r="AI115" s="523"/>
      <c r="AJ115" s="523"/>
      <c r="AK115" s="523"/>
      <c r="AL115" s="523"/>
      <c r="AM115" s="523"/>
      <c r="AN115" s="523"/>
      <c r="AO115" s="523"/>
      <c r="AP115" s="523"/>
      <c r="AQ115" s="549"/>
    </row>
    <row r="116" spans="1:43" ht="12.75">
      <c r="A116" s="523" t="s">
        <v>504</v>
      </c>
      <c r="B116" s="523"/>
      <c r="C116" s="523"/>
      <c r="D116" s="523"/>
      <c r="E116" s="523"/>
      <c r="F116" s="523"/>
      <c r="G116" s="523"/>
      <c r="H116" s="523"/>
      <c r="I116" s="523"/>
      <c r="J116" s="523"/>
      <c r="K116" s="523"/>
      <c r="L116" s="523"/>
      <c r="M116" s="523"/>
      <c r="N116" s="523"/>
      <c r="O116" s="523"/>
      <c r="P116" s="523"/>
      <c r="Q116" s="523"/>
      <c r="R116" s="523"/>
      <c r="S116" s="523"/>
      <c r="T116" s="523"/>
      <c r="U116" s="523"/>
      <c r="V116" s="523"/>
      <c r="W116" s="523"/>
      <c r="X116" s="523"/>
      <c r="Y116" s="523"/>
      <c r="Z116" s="523"/>
      <c r="AA116" s="523"/>
      <c r="AB116" s="523"/>
      <c r="AC116" s="523"/>
      <c r="AD116" s="523"/>
      <c r="AE116" s="523"/>
      <c r="AF116" s="523"/>
      <c r="AG116" s="523"/>
      <c r="AH116" s="523"/>
      <c r="AI116" s="523"/>
      <c r="AJ116" s="523"/>
      <c r="AK116" s="523"/>
      <c r="AL116" s="523"/>
      <c r="AM116" s="523"/>
      <c r="AN116" s="523"/>
      <c r="AO116" s="523"/>
      <c r="AP116" s="523"/>
      <c r="AQ116" s="549"/>
    </row>
    <row r="117" spans="1:43" ht="12.75">
      <c r="A117" s="523" t="s">
        <v>505</v>
      </c>
      <c r="B117" s="523"/>
      <c r="C117" s="523"/>
      <c r="D117" s="523"/>
      <c r="E117" s="523"/>
      <c r="F117" s="523"/>
      <c r="G117" s="523"/>
      <c r="H117" s="523"/>
      <c r="I117" s="523"/>
      <c r="J117" s="523"/>
      <c r="K117" s="523"/>
      <c r="L117" s="523"/>
      <c r="M117" s="523"/>
      <c r="N117" s="523"/>
      <c r="O117" s="523"/>
      <c r="P117" s="523"/>
      <c r="Q117" s="523"/>
      <c r="R117" s="523"/>
      <c r="S117" s="523"/>
      <c r="T117" s="523"/>
      <c r="U117" s="523"/>
      <c r="V117" s="523"/>
      <c r="W117" s="523"/>
      <c r="X117" s="523"/>
      <c r="Y117" s="523"/>
      <c r="Z117" s="523"/>
      <c r="AA117" s="523"/>
      <c r="AB117" s="523"/>
      <c r="AC117" s="523"/>
      <c r="AD117" s="523"/>
      <c r="AE117" s="523"/>
      <c r="AF117" s="523"/>
      <c r="AG117" s="523"/>
      <c r="AH117" s="523"/>
      <c r="AI117" s="523"/>
      <c r="AJ117" s="523"/>
      <c r="AK117" s="523"/>
      <c r="AL117" s="523"/>
      <c r="AM117" s="523"/>
      <c r="AN117" s="523"/>
      <c r="AO117" s="523"/>
      <c r="AP117" s="523"/>
      <c r="AQ117" s="549"/>
    </row>
    <row r="118" spans="1:43" ht="12.75">
      <c r="A118" s="523" t="s">
        <v>506</v>
      </c>
      <c r="B118" s="523"/>
      <c r="C118" s="523"/>
      <c r="D118" s="523"/>
      <c r="E118" s="523"/>
      <c r="F118" s="523"/>
      <c r="G118" s="523"/>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3"/>
      <c r="AM118" s="523"/>
      <c r="AN118" s="523"/>
      <c r="AO118" s="523"/>
      <c r="AP118" s="523"/>
      <c r="AQ118" s="549"/>
    </row>
    <row r="119" spans="1:43" ht="12.75">
      <c r="A119" s="523" t="s">
        <v>507</v>
      </c>
      <c r="B119" s="523"/>
      <c r="C119" s="523"/>
      <c r="D119" s="523"/>
      <c r="E119" s="523"/>
      <c r="F119" s="523"/>
      <c r="G119" s="523"/>
      <c r="H119" s="523"/>
      <c r="I119" s="523"/>
      <c r="J119" s="523"/>
      <c r="K119" s="523"/>
      <c r="L119" s="523"/>
      <c r="M119" s="523"/>
      <c r="N119" s="523"/>
      <c r="O119" s="523"/>
      <c r="P119" s="523"/>
      <c r="Q119" s="523"/>
      <c r="R119" s="523"/>
      <c r="S119" s="523"/>
      <c r="T119" s="523"/>
      <c r="U119" s="523"/>
      <c r="V119" s="523"/>
      <c r="W119" s="523"/>
      <c r="X119" s="523"/>
      <c r="Y119" s="523"/>
      <c r="Z119" s="523"/>
      <c r="AA119" s="523"/>
      <c r="AB119" s="523"/>
      <c r="AC119" s="523"/>
      <c r="AD119" s="523"/>
      <c r="AE119" s="523"/>
      <c r="AF119" s="523"/>
      <c r="AG119" s="523"/>
      <c r="AH119" s="523"/>
      <c r="AI119" s="523"/>
      <c r="AJ119" s="523"/>
      <c r="AK119" s="523"/>
      <c r="AL119" s="523"/>
      <c r="AM119" s="523"/>
      <c r="AN119" s="523"/>
      <c r="AO119" s="523"/>
      <c r="AP119" s="523"/>
      <c r="AQ119" s="549"/>
    </row>
    <row r="120" spans="1:43" ht="12.75">
      <c r="A120" s="523" t="s">
        <v>508</v>
      </c>
      <c r="B120" s="523"/>
      <c r="C120" s="523"/>
      <c r="D120" s="523"/>
      <c r="E120" s="523"/>
      <c r="F120" s="523"/>
      <c r="G120" s="523"/>
      <c r="H120" s="523"/>
      <c r="I120" s="523"/>
      <c r="J120" s="523"/>
      <c r="K120" s="523"/>
      <c r="L120" s="523"/>
      <c r="M120" s="523"/>
      <c r="N120" s="523"/>
      <c r="O120" s="523"/>
      <c r="P120" s="523"/>
      <c r="Q120" s="523"/>
      <c r="R120" s="523"/>
      <c r="S120" s="523"/>
      <c r="T120" s="523"/>
      <c r="U120" s="523"/>
      <c r="V120" s="523"/>
      <c r="W120" s="523"/>
      <c r="X120" s="523"/>
      <c r="Y120" s="523"/>
      <c r="Z120" s="523"/>
      <c r="AA120" s="523"/>
      <c r="AB120" s="523"/>
      <c r="AC120" s="523"/>
      <c r="AD120" s="523"/>
      <c r="AE120" s="523"/>
      <c r="AF120" s="523"/>
      <c r="AG120" s="523"/>
      <c r="AH120" s="523"/>
      <c r="AI120" s="523"/>
      <c r="AJ120" s="523"/>
      <c r="AK120" s="523"/>
      <c r="AL120" s="523"/>
      <c r="AM120" s="523"/>
      <c r="AN120" s="523"/>
      <c r="AO120" s="523"/>
      <c r="AP120" s="523"/>
      <c r="AQ120" s="549"/>
    </row>
    <row r="121" spans="1:43" ht="12.75">
      <c r="A121" s="523" t="s">
        <v>509</v>
      </c>
      <c r="B121" s="523"/>
      <c r="C121" s="523"/>
      <c r="D121" s="523"/>
      <c r="E121" s="523"/>
      <c r="F121" s="523"/>
      <c r="G121" s="523"/>
      <c r="H121" s="523"/>
      <c r="I121" s="523"/>
      <c r="J121" s="523"/>
      <c r="K121" s="523"/>
      <c r="L121" s="523"/>
      <c r="M121" s="523"/>
      <c r="N121" s="523"/>
      <c r="O121" s="523"/>
      <c r="P121" s="523"/>
      <c r="Q121" s="523"/>
      <c r="R121" s="523"/>
      <c r="S121" s="523"/>
      <c r="T121" s="523"/>
      <c r="U121" s="523"/>
      <c r="V121" s="523"/>
      <c r="W121" s="523"/>
      <c r="X121" s="523"/>
      <c r="Y121" s="523"/>
      <c r="Z121" s="523"/>
      <c r="AA121" s="523"/>
      <c r="AB121" s="523"/>
      <c r="AC121" s="523"/>
      <c r="AD121" s="523"/>
      <c r="AE121" s="523"/>
      <c r="AF121" s="523"/>
      <c r="AG121" s="523"/>
      <c r="AH121" s="523"/>
      <c r="AI121" s="523"/>
      <c r="AJ121" s="523"/>
      <c r="AK121" s="523"/>
      <c r="AL121" s="523"/>
      <c r="AM121" s="523"/>
      <c r="AN121" s="523"/>
      <c r="AO121" s="523"/>
      <c r="AP121" s="523"/>
      <c r="AQ121" s="549"/>
    </row>
    <row r="122" spans="1:43" ht="12.75">
      <c r="A122" s="523" t="s">
        <v>510</v>
      </c>
      <c r="B122" s="523"/>
      <c r="C122" s="523"/>
      <c r="D122" s="523"/>
      <c r="E122" s="523"/>
      <c r="F122" s="523"/>
      <c r="G122" s="523"/>
      <c r="H122" s="523"/>
      <c r="I122" s="523"/>
      <c r="J122" s="523"/>
      <c r="K122" s="523"/>
      <c r="L122" s="523"/>
      <c r="M122" s="523"/>
      <c r="N122" s="523"/>
      <c r="O122" s="523"/>
      <c r="P122" s="523"/>
      <c r="Q122" s="523"/>
      <c r="R122" s="523"/>
      <c r="S122" s="523"/>
      <c r="T122" s="523"/>
      <c r="U122" s="523"/>
      <c r="V122" s="523"/>
      <c r="W122" s="523"/>
      <c r="X122" s="523"/>
      <c r="Y122" s="523"/>
      <c r="Z122" s="523"/>
      <c r="AA122" s="523"/>
      <c r="AB122" s="523"/>
      <c r="AC122" s="523"/>
      <c r="AD122" s="523"/>
      <c r="AE122" s="523"/>
      <c r="AF122" s="523"/>
      <c r="AG122" s="523"/>
      <c r="AH122" s="523"/>
      <c r="AI122" s="523"/>
      <c r="AJ122" s="523"/>
      <c r="AK122" s="523"/>
      <c r="AL122" s="523"/>
      <c r="AM122" s="523"/>
      <c r="AN122" s="523"/>
      <c r="AO122" s="523"/>
      <c r="AP122" s="523"/>
      <c r="AQ122" s="549"/>
    </row>
    <row r="123" spans="1:43" ht="12.75">
      <c r="A123" s="523" t="s">
        <v>511</v>
      </c>
      <c r="B123" s="523"/>
      <c r="C123" s="523"/>
      <c r="D123" s="523"/>
      <c r="E123" s="523"/>
      <c r="F123" s="523"/>
      <c r="G123" s="523"/>
      <c r="H123" s="523"/>
      <c r="I123" s="523"/>
      <c r="J123" s="523"/>
      <c r="K123" s="523"/>
      <c r="L123" s="523"/>
      <c r="M123" s="523"/>
      <c r="N123" s="523"/>
      <c r="O123" s="523"/>
      <c r="P123" s="523"/>
      <c r="Q123" s="523"/>
      <c r="R123" s="523"/>
      <c r="S123" s="523"/>
      <c r="T123" s="523"/>
      <c r="U123" s="523"/>
      <c r="V123" s="523"/>
      <c r="W123" s="523"/>
      <c r="X123" s="523"/>
      <c r="Y123" s="523"/>
      <c r="Z123" s="523"/>
      <c r="AA123" s="523"/>
      <c r="AB123" s="523"/>
      <c r="AC123" s="523"/>
      <c r="AD123" s="523"/>
      <c r="AE123" s="523"/>
      <c r="AF123" s="523"/>
      <c r="AG123" s="523"/>
      <c r="AH123" s="523"/>
      <c r="AI123" s="523"/>
      <c r="AJ123" s="523"/>
      <c r="AK123" s="523"/>
      <c r="AL123" s="523"/>
      <c r="AM123" s="523"/>
      <c r="AN123" s="523"/>
      <c r="AO123" s="523"/>
      <c r="AP123" s="523"/>
      <c r="AQ123" s="549"/>
    </row>
    <row r="124" spans="1:43" ht="12.75">
      <c r="A124" s="523" t="s">
        <v>512</v>
      </c>
      <c r="B124" s="523"/>
      <c r="C124" s="523"/>
      <c r="D124" s="523"/>
      <c r="E124" s="523"/>
      <c r="F124" s="523"/>
      <c r="G124" s="523"/>
      <c r="H124" s="523"/>
      <c r="I124" s="523"/>
      <c r="J124" s="523"/>
      <c r="K124" s="523"/>
      <c r="L124" s="523"/>
      <c r="M124" s="523"/>
      <c r="N124" s="523"/>
      <c r="O124" s="523"/>
      <c r="P124" s="523"/>
      <c r="Q124" s="523"/>
      <c r="R124" s="523"/>
      <c r="S124" s="523"/>
      <c r="T124" s="523"/>
      <c r="U124" s="523"/>
      <c r="V124" s="523"/>
      <c r="W124" s="523"/>
      <c r="X124" s="523"/>
      <c r="Y124" s="523"/>
      <c r="Z124" s="523"/>
      <c r="AA124" s="523"/>
      <c r="AB124" s="523"/>
      <c r="AC124" s="523"/>
      <c r="AD124" s="523"/>
      <c r="AE124" s="523"/>
      <c r="AF124" s="523"/>
      <c r="AG124" s="523"/>
      <c r="AH124" s="523"/>
      <c r="AI124" s="523"/>
      <c r="AJ124" s="523"/>
      <c r="AK124" s="523"/>
      <c r="AL124" s="523"/>
      <c r="AM124" s="523"/>
      <c r="AN124" s="523"/>
      <c r="AO124" s="523"/>
      <c r="AP124" s="523"/>
      <c r="AQ124" s="549"/>
    </row>
    <row r="125" spans="1:43" ht="12.75">
      <c r="A125" s="523" t="s">
        <v>513</v>
      </c>
      <c r="B125" s="523"/>
      <c r="C125" s="523"/>
      <c r="D125" s="523"/>
      <c r="E125" s="523"/>
      <c r="F125" s="523"/>
      <c r="G125" s="523"/>
      <c r="H125" s="523"/>
      <c r="I125" s="523"/>
      <c r="J125" s="523"/>
      <c r="K125" s="523"/>
      <c r="L125" s="523"/>
      <c r="M125" s="523"/>
      <c r="N125" s="523"/>
      <c r="O125" s="523"/>
      <c r="P125" s="523"/>
      <c r="Q125" s="523"/>
      <c r="R125" s="523"/>
      <c r="S125" s="523"/>
      <c r="T125" s="523"/>
      <c r="U125" s="523"/>
      <c r="V125" s="523"/>
      <c r="W125" s="523"/>
      <c r="X125" s="523"/>
      <c r="Y125" s="523"/>
      <c r="Z125" s="523"/>
      <c r="AA125" s="523"/>
      <c r="AB125" s="523"/>
      <c r="AC125" s="523"/>
      <c r="AD125" s="523"/>
      <c r="AE125" s="523"/>
      <c r="AF125" s="523"/>
      <c r="AG125" s="523"/>
      <c r="AH125" s="523"/>
      <c r="AI125" s="523"/>
      <c r="AJ125" s="523"/>
      <c r="AK125" s="523"/>
      <c r="AL125" s="523"/>
      <c r="AM125" s="523"/>
      <c r="AN125" s="523"/>
      <c r="AO125" s="523"/>
      <c r="AP125" s="523"/>
      <c r="AQ125" s="549"/>
    </row>
    <row r="126" spans="1:43" ht="12.75">
      <c r="A126" s="523" t="s">
        <v>514</v>
      </c>
      <c r="B126" s="523"/>
      <c r="C126" s="523"/>
      <c r="D126" s="523"/>
      <c r="E126" s="523"/>
      <c r="F126" s="523"/>
      <c r="G126" s="523"/>
      <c r="H126" s="523"/>
      <c r="I126" s="523"/>
      <c r="J126" s="523"/>
      <c r="K126" s="523"/>
      <c r="L126" s="523"/>
      <c r="M126" s="523"/>
      <c r="N126" s="523"/>
      <c r="O126" s="523"/>
      <c r="P126" s="523"/>
      <c r="Q126" s="523"/>
      <c r="R126" s="523"/>
      <c r="S126" s="523"/>
      <c r="T126" s="523"/>
      <c r="U126" s="523"/>
      <c r="V126" s="523"/>
      <c r="W126" s="523"/>
      <c r="X126" s="523"/>
      <c r="Y126" s="523"/>
      <c r="Z126" s="523"/>
      <c r="AA126" s="523"/>
      <c r="AB126" s="523"/>
      <c r="AC126" s="523"/>
      <c r="AD126" s="523"/>
      <c r="AE126" s="523"/>
      <c r="AF126" s="523"/>
      <c r="AG126" s="523"/>
      <c r="AH126" s="523"/>
      <c r="AI126" s="523"/>
      <c r="AJ126" s="523"/>
      <c r="AK126" s="523"/>
      <c r="AL126" s="523"/>
      <c r="AM126" s="523"/>
      <c r="AN126" s="523"/>
      <c r="AO126" s="523"/>
      <c r="AP126" s="523"/>
      <c r="AQ126" s="549"/>
    </row>
    <row r="127" spans="1:43" ht="12.75">
      <c r="A127" s="523" t="s">
        <v>515</v>
      </c>
      <c r="B127" s="523"/>
      <c r="C127" s="523"/>
      <c r="D127" s="523"/>
      <c r="E127" s="523"/>
      <c r="F127" s="523"/>
      <c r="G127" s="523"/>
      <c r="H127" s="523"/>
      <c r="I127" s="523"/>
      <c r="J127" s="523"/>
      <c r="K127" s="523"/>
      <c r="L127" s="523"/>
      <c r="M127" s="523"/>
      <c r="N127" s="523"/>
      <c r="O127" s="523"/>
      <c r="P127" s="523"/>
      <c r="Q127" s="523"/>
      <c r="R127" s="523"/>
      <c r="S127" s="523"/>
      <c r="T127" s="523"/>
      <c r="U127" s="523"/>
      <c r="V127" s="523"/>
      <c r="W127" s="523"/>
      <c r="X127" s="523"/>
      <c r="Y127" s="523"/>
      <c r="Z127" s="523"/>
      <c r="AA127" s="523"/>
      <c r="AB127" s="523"/>
      <c r="AC127" s="523"/>
      <c r="AD127" s="523"/>
      <c r="AE127" s="523"/>
      <c r="AF127" s="523"/>
      <c r="AG127" s="523"/>
      <c r="AH127" s="523"/>
      <c r="AI127" s="523"/>
      <c r="AJ127" s="523"/>
      <c r="AK127" s="523"/>
      <c r="AL127" s="523"/>
      <c r="AM127" s="523"/>
      <c r="AN127" s="523"/>
      <c r="AO127" s="523"/>
      <c r="AP127" s="523"/>
      <c r="AQ127" s="549"/>
    </row>
    <row r="128" spans="1:43" ht="12.75">
      <c r="A128" s="523" t="s">
        <v>516</v>
      </c>
      <c r="B128" s="523"/>
      <c r="C128" s="523"/>
      <c r="D128" s="523"/>
      <c r="E128" s="523"/>
      <c r="F128" s="523"/>
      <c r="G128" s="523"/>
      <c r="H128" s="523"/>
      <c r="I128" s="523"/>
      <c r="J128" s="523"/>
      <c r="K128" s="523"/>
      <c r="L128" s="523"/>
      <c r="M128" s="523"/>
      <c r="N128" s="523"/>
      <c r="O128" s="523"/>
      <c r="P128" s="523"/>
      <c r="Q128" s="523"/>
      <c r="R128" s="523"/>
      <c r="S128" s="523"/>
      <c r="T128" s="523"/>
      <c r="U128" s="523"/>
      <c r="V128" s="523"/>
      <c r="W128" s="523"/>
      <c r="X128" s="523"/>
      <c r="Y128" s="523"/>
      <c r="Z128" s="523"/>
      <c r="AA128" s="523"/>
      <c r="AB128" s="523"/>
      <c r="AC128" s="523"/>
      <c r="AD128" s="523"/>
      <c r="AE128" s="523"/>
      <c r="AF128" s="523"/>
      <c r="AG128" s="523"/>
      <c r="AH128" s="523"/>
      <c r="AI128" s="523"/>
      <c r="AJ128" s="523"/>
      <c r="AK128" s="523"/>
      <c r="AL128" s="523"/>
      <c r="AM128" s="523"/>
      <c r="AN128" s="523"/>
      <c r="AO128" s="523"/>
      <c r="AP128" s="523"/>
      <c r="AQ128" s="549"/>
    </row>
    <row r="129" spans="1:43" s="536" customFormat="1" ht="12.75">
      <c r="A129" s="548" t="s">
        <v>517</v>
      </c>
      <c r="B129" s="548"/>
      <c r="C129" s="548"/>
      <c r="D129" s="548"/>
      <c r="E129" s="548"/>
      <c r="F129" s="548"/>
      <c r="G129" s="548"/>
      <c r="H129" s="548"/>
      <c r="I129" s="548"/>
      <c r="J129" s="548"/>
      <c r="K129" s="548"/>
      <c r="L129" s="548"/>
      <c r="M129" s="548"/>
      <c r="N129" s="548"/>
      <c r="O129" s="548"/>
      <c r="P129" s="548"/>
      <c r="Q129" s="548"/>
      <c r="R129" s="548"/>
      <c r="S129" s="548"/>
      <c r="T129" s="548"/>
      <c r="U129" s="548"/>
      <c r="V129" s="548"/>
      <c r="W129" s="548"/>
      <c r="X129" s="548"/>
      <c r="Y129" s="548"/>
      <c r="Z129" s="548"/>
      <c r="AA129" s="548"/>
      <c r="AB129" s="548"/>
      <c r="AC129" s="548"/>
      <c r="AD129" s="548"/>
      <c r="AE129" s="548"/>
      <c r="AF129" s="548"/>
      <c r="AG129" s="548"/>
      <c r="AH129" s="548"/>
      <c r="AI129" s="548"/>
      <c r="AJ129" s="548"/>
      <c r="AK129" s="548"/>
      <c r="AL129" s="548"/>
      <c r="AM129" s="548"/>
      <c r="AN129" s="548"/>
      <c r="AO129" s="548"/>
      <c r="AP129" s="548"/>
      <c r="AQ129" s="548"/>
    </row>
    <row r="130" spans="1:43" ht="12.75">
      <c r="A130" s="523" t="s">
        <v>518</v>
      </c>
      <c r="B130" s="523"/>
      <c r="C130" s="523"/>
      <c r="D130" s="523"/>
      <c r="E130" s="523"/>
      <c r="F130" s="523"/>
      <c r="G130" s="523"/>
      <c r="H130" s="523"/>
      <c r="I130" s="523"/>
      <c r="J130" s="523"/>
      <c r="K130" s="523"/>
      <c r="L130" s="523"/>
      <c r="M130" s="523"/>
      <c r="N130" s="523"/>
      <c r="O130" s="523"/>
      <c r="P130" s="523"/>
      <c r="Q130" s="523"/>
      <c r="R130" s="523"/>
      <c r="S130" s="523"/>
      <c r="T130" s="523"/>
      <c r="U130" s="523"/>
      <c r="V130" s="523"/>
      <c r="W130" s="523"/>
      <c r="X130" s="523"/>
      <c r="Y130" s="523"/>
      <c r="Z130" s="523"/>
      <c r="AA130" s="523"/>
      <c r="AB130" s="523"/>
      <c r="AC130" s="523"/>
      <c r="AD130" s="523"/>
      <c r="AE130" s="523"/>
      <c r="AF130" s="523"/>
      <c r="AG130" s="523"/>
      <c r="AH130" s="523"/>
      <c r="AI130" s="523"/>
      <c r="AJ130" s="523"/>
      <c r="AK130" s="523"/>
      <c r="AL130" s="523"/>
      <c r="AM130" s="523"/>
      <c r="AN130" s="523"/>
      <c r="AO130" s="523"/>
      <c r="AP130" s="523"/>
      <c r="AQ130" s="523"/>
    </row>
    <row r="131" spans="1:43" ht="12.75">
      <c r="A131" s="523" t="s">
        <v>319</v>
      </c>
      <c r="B131" s="523"/>
      <c r="C131" s="523"/>
      <c r="D131" s="523"/>
      <c r="E131" s="523"/>
      <c r="F131" s="523"/>
      <c r="G131" s="523"/>
      <c r="H131" s="523"/>
      <c r="I131" s="523"/>
      <c r="J131" s="523"/>
      <c r="K131" s="523"/>
      <c r="L131" s="523"/>
      <c r="M131" s="523"/>
      <c r="N131" s="523"/>
      <c r="O131" s="523"/>
      <c r="P131" s="523"/>
      <c r="Q131" s="523"/>
      <c r="R131" s="523">
        <v>0.75</v>
      </c>
      <c r="S131" s="523">
        <v>0.78</v>
      </c>
      <c r="T131" s="523">
        <v>0.78</v>
      </c>
      <c r="U131" s="523">
        <v>0.84</v>
      </c>
      <c r="V131" s="523">
        <v>0.84</v>
      </c>
      <c r="W131" s="523"/>
      <c r="X131" s="523"/>
      <c r="Y131" s="523"/>
      <c r="Z131" s="523"/>
      <c r="AA131" s="523"/>
      <c r="AB131" s="523"/>
      <c r="AC131" s="523"/>
      <c r="AD131" s="523"/>
      <c r="AE131" s="523"/>
      <c r="AF131" s="523"/>
      <c r="AG131" s="523"/>
      <c r="AH131" s="523"/>
      <c r="AI131" s="523"/>
      <c r="AJ131" s="523"/>
      <c r="AK131" s="523"/>
      <c r="AL131" s="523"/>
      <c r="AM131" s="523"/>
      <c r="AN131" s="523"/>
      <c r="AO131" s="523"/>
      <c r="AP131" s="523"/>
      <c r="AQ131" s="523"/>
    </row>
    <row r="132" spans="1:43" ht="12.75">
      <c r="A132" s="523" t="s">
        <v>519</v>
      </c>
      <c r="B132" s="523"/>
      <c r="C132" s="523"/>
      <c r="D132" s="523"/>
      <c r="E132" s="523"/>
      <c r="F132" s="523"/>
      <c r="G132" s="523"/>
      <c r="H132" s="523"/>
      <c r="I132" s="523"/>
      <c r="J132" s="523"/>
      <c r="K132" s="523"/>
      <c r="L132" s="523"/>
      <c r="M132" s="523"/>
      <c r="N132" s="523"/>
      <c r="O132" s="523"/>
      <c r="P132" s="523"/>
      <c r="Q132" s="523"/>
      <c r="R132" s="523"/>
      <c r="S132" s="523"/>
      <c r="T132" s="523"/>
      <c r="U132" s="523"/>
      <c r="V132" s="523"/>
      <c r="W132" s="523"/>
      <c r="X132" s="523"/>
      <c r="Y132" s="523"/>
      <c r="Z132" s="523"/>
      <c r="AA132" s="523"/>
      <c r="AB132" s="523"/>
      <c r="AC132" s="523"/>
      <c r="AD132" s="523"/>
      <c r="AE132" s="523"/>
      <c r="AF132" s="523"/>
      <c r="AG132" s="523"/>
      <c r="AH132" s="523"/>
      <c r="AI132" s="523"/>
      <c r="AJ132" s="523"/>
      <c r="AK132" s="523"/>
      <c r="AL132" s="523"/>
      <c r="AM132" s="523"/>
      <c r="AN132" s="523"/>
      <c r="AO132" s="523"/>
      <c r="AP132" s="523"/>
      <c r="AQ132" s="523"/>
    </row>
    <row r="133" spans="1:43" ht="12.75">
      <c r="A133" s="523" t="s">
        <v>520</v>
      </c>
      <c r="B133" s="523"/>
      <c r="C133" s="523"/>
      <c r="D133" s="523"/>
      <c r="E133" s="523"/>
      <c r="F133" s="523"/>
      <c r="G133" s="523"/>
      <c r="H133" s="523"/>
      <c r="I133" s="523"/>
      <c r="J133" s="523"/>
      <c r="K133" s="523"/>
      <c r="L133" s="523"/>
      <c r="M133" s="523"/>
      <c r="N133" s="523"/>
      <c r="O133" s="523"/>
      <c r="P133" s="523"/>
      <c r="Q133" s="523"/>
      <c r="R133" s="523"/>
      <c r="S133" s="523"/>
      <c r="T133" s="523"/>
      <c r="U133" s="523"/>
      <c r="V133" s="523"/>
      <c r="W133" s="523"/>
      <c r="X133" s="523"/>
      <c r="Y133" s="523"/>
      <c r="Z133" s="523"/>
      <c r="AA133" s="523"/>
      <c r="AB133" s="523"/>
      <c r="AC133" s="523"/>
      <c r="AD133" s="523"/>
      <c r="AE133" s="523"/>
      <c r="AF133" s="523"/>
      <c r="AG133" s="523"/>
      <c r="AH133" s="523"/>
      <c r="AI133" s="523"/>
      <c r="AJ133" s="523"/>
      <c r="AK133" s="523"/>
      <c r="AL133" s="523"/>
      <c r="AM133" s="523"/>
      <c r="AN133" s="523"/>
      <c r="AO133" s="523"/>
      <c r="AP133" s="523"/>
      <c r="AQ133" s="523"/>
    </row>
    <row r="134" spans="1:43" ht="12.75">
      <c r="A134" s="523" t="s">
        <v>320</v>
      </c>
      <c r="B134" s="523"/>
      <c r="C134" s="523"/>
      <c r="D134" s="523"/>
      <c r="E134" s="523"/>
      <c r="F134" s="523"/>
      <c r="G134" s="523"/>
      <c r="H134" s="523"/>
      <c r="I134" s="523"/>
      <c r="J134" s="523"/>
      <c r="K134" s="523"/>
      <c r="L134" s="523"/>
      <c r="M134" s="523"/>
      <c r="N134" s="523"/>
      <c r="O134" s="523"/>
      <c r="P134" s="523"/>
      <c r="Q134" s="523"/>
      <c r="R134" s="523">
        <v>0.75</v>
      </c>
      <c r="S134" s="523">
        <v>0.78</v>
      </c>
      <c r="T134" s="523">
        <v>0.78</v>
      </c>
      <c r="U134" s="523">
        <v>0.72</v>
      </c>
      <c r="V134" s="523">
        <v>0.72</v>
      </c>
      <c r="W134" s="523"/>
      <c r="X134" s="523"/>
      <c r="Y134" s="523"/>
      <c r="Z134" s="523"/>
      <c r="AA134" s="523"/>
      <c r="AB134" s="523"/>
      <c r="AC134" s="523"/>
      <c r="AD134" s="523"/>
      <c r="AE134" s="523"/>
      <c r="AF134" s="523"/>
      <c r="AG134" s="523"/>
      <c r="AH134" s="523"/>
      <c r="AI134" s="523"/>
      <c r="AJ134" s="523"/>
      <c r="AK134" s="523"/>
      <c r="AL134" s="523"/>
      <c r="AM134" s="523"/>
      <c r="AN134" s="523"/>
      <c r="AO134" s="523"/>
      <c r="AP134" s="523"/>
      <c r="AQ134" s="523"/>
    </row>
    <row r="135" spans="1:43" ht="12.75">
      <c r="A135" s="523" t="s">
        <v>521</v>
      </c>
      <c r="B135" s="523"/>
      <c r="C135" s="523"/>
      <c r="D135" s="523"/>
      <c r="E135" s="523"/>
      <c r="F135" s="523"/>
      <c r="G135" s="523"/>
      <c r="H135" s="523"/>
      <c r="I135" s="523"/>
      <c r="J135" s="523"/>
      <c r="K135" s="523"/>
      <c r="L135" s="523"/>
      <c r="M135" s="523"/>
      <c r="N135" s="523"/>
      <c r="O135" s="523"/>
      <c r="P135" s="523"/>
      <c r="Q135" s="523"/>
      <c r="R135" s="523"/>
      <c r="S135" s="523"/>
      <c r="T135" s="523"/>
      <c r="U135" s="523"/>
      <c r="V135" s="523"/>
      <c r="W135" s="523"/>
      <c r="X135" s="523"/>
      <c r="Y135" s="523"/>
      <c r="Z135" s="523"/>
      <c r="AA135" s="523"/>
      <c r="AB135" s="523"/>
      <c r="AC135" s="523"/>
      <c r="AD135" s="523"/>
      <c r="AE135" s="523"/>
      <c r="AF135" s="523"/>
      <c r="AG135" s="523"/>
      <c r="AH135" s="523"/>
      <c r="AI135" s="523"/>
      <c r="AJ135" s="523"/>
      <c r="AK135" s="523"/>
      <c r="AL135" s="523"/>
      <c r="AM135" s="523"/>
      <c r="AN135" s="523"/>
      <c r="AO135" s="523"/>
      <c r="AP135" s="523"/>
      <c r="AQ135" s="523"/>
    </row>
    <row r="136" spans="1:43" ht="12.75">
      <c r="A136" s="523" t="s">
        <v>522</v>
      </c>
      <c r="B136" s="523"/>
      <c r="C136" s="523"/>
      <c r="D136" s="523"/>
      <c r="E136" s="523"/>
      <c r="F136" s="523"/>
      <c r="G136" s="523"/>
      <c r="H136" s="523"/>
      <c r="I136" s="523"/>
      <c r="J136" s="523"/>
      <c r="K136" s="523"/>
      <c r="L136" s="523"/>
      <c r="M136" s="523"/>
      <c r="N136" s="523"/>
      <c r="O136" s="523"/>
      <c r="P136" s="523"/>
      <c r="Q136" s="523"/>
      <c r="R136" s="523"/>
      <c r="S136" s="523"/>
      <c r="T136" s="523"/>
      <c r="U136" s="523"/>
      <c r="V136" s="523"/>
      <c r="W136" s="523"/>
      <c r="X136" s="523"/>
      <c r="Y136" s="523"/>
      <c r="Z136" s="523"/>
      <c r="AA136" s="523"/>
      <c r="AB136" s="523"/>
      <c r="AC136" s="523"/>
      <c r="AD136" s="523"/>
      <c r="AE136" s="523"/>
      <c r="AF136" s="523"/>
      <c r="AG136" s="523"/>
      <c r="AH136" s="523"/>
      <c r="AI136" s="523"/>
      <c r="AJ136" s="523"/>
      <c r="AK136" s="523"/>
      <c r="AL136" s="523"/>
      <c r="AM136" s="523"/>
      <c r="AN136" s="523"/>
      <c r="AO136" s="523"/>
      <c r="AP136" s="523"/>
      <c r="AQ136" s="523"/>
    </row>
    <row r="137" spans="1:43" ht="12.75">
      <c r="A137" s="523" t="s">
        <v>321</v>
      </c>
      <c r="B137" s="523"/>
      <c r="C137" s="523"/>
      <c r="D137" s="523"/>
      <c r="E137" s="523"/>
      <c r="F137" s="523"/>
      <c r="G137" s="523"/>
      <c r="H137" s="523"/>
      <c r="I137" s="523"/>
      <c r="J137" s="523"/>
      <c r="K137" s="523"/>
      <c r="L137" s="523"/>
      <c r="M137" s="523"/>
      <c r="N137" s="523"/>
      <c r="O137" s="523"/>
      <c r="P137" s="523"/>
      <c r="Q137" s="523"/>
      <c r="R137" s="523">
        <v>0.75</v>
      </c>
      <c r="S137" s="523">
        <v>0.78</v>
      </c>
      <c r="T137" s="523">
        <v>0.78</v>
      </c>
      <c r="U137" s="523">
        <v>0.84</v>
      </c>
      <c r="V137" s="523">
        <v>0.84</v>
      </c>
      <c r="W137" s="523"/>
      <c r="X137" s="523"/>
      <c r="Y137" s="523"/>
      <c r="Z137" s="523"/>
      <c r="AA137" s="523"/>
      <c r="AB137" s="523"/>
      <c r="AC137" s="523"/>
      <c r="AD137" s="523"/>
      <c r="AE137" s="523"/>
      <c r="AF137" s="523"/>
      <c r="AG137" s="523"/>
      <c r="AH137" s="523"/>
      <c r="AI137" s="523"/>
      <c r="AJ137" s="523"/>
      <c r="AK137" s="523"/>
      <c r="AL137" s="523"/>
      <c r="AM137" s="523"/>
      <c r="AN137" s="523"/>
      <c r="AO137" s="523"/>
      <c r="AP137" s="523"/>
      <c r="AQ137" s="523"/>
    </row>
    <row r="138" spans="1:43" ht="12.75">
      <c r="A138" s="523" t="s">
        <v>523</v>
      </c>
      <c r="B138" s="523"/>
      <c r="C138" s="523"/>
      <c r="D138" s="523"/>
      <c r="E138" s="523"/>
      <c r="F138" s="523"/>
      <c r="G138" s="523"/>
      <c r="H138" s="523"/>
      <c r="I138" s="523"/>
      <c r="J138" s="523"/>
      <c r="K138" s="523"/>
      <c r="L138" s="523"/>
      <c r="M138" s="523"/>
      <c r="N138" s="523"/>
      <c r="O138" s="523"/>
      <c r="P138" s="523"/>
      <c r="Q138" s="523"/>
      <c r="R138" s="523"/>
      <c r="S138" s="523"/>
      <c r="T138" s="523"/>
      <c r="U138" s="523"/>
      <c r="V138" s="523"/>
      <c r="W138" s="523"/>
      <c r="X138" s="523"/>
      <c r="Y138" s="523"/>
      <c r="Z138" s="523"/>
      <c r="AA138" s="523"/>
      <c r="AB138" s="523"/>
      <c r="AC138" s="523"/>
      <c r="AD138" s="523"/>
      <c r="AE138" s="523"/>
      <c r="AF138" s="523"/>
      <c r="AG138" s="523"/>
      <c r="AH138" s="523"/>
      <c r="AI138" s="523"/>
      <c r="AJ138" s="523"/>
      <c r="AK138" s="523"/>
      <c r="AL138" s="523"/>
      <c r="AM138" s="523"/>
      <c r="AN138" s="523"/>
      <c r="AO138" s="523"/>
      <c r="AP138" s="523"/>
      <c r="AQ138" s="523"/>
    </row>
    <row r="139" spans="1:43" ht="12.75">
      <c r="A139" s="523" t="s">
        <v>524</v>
      </c>
      <c r="B139" s="523"/>
      <c r="C139" s="523"/>
      <c r="D139" s="523"/>
      <c r="E139" s="523"/>
      <c r="F139" s="523"/>
      <c r="G139" s="523"/>
      <c r="H139" s="523"/>
      <c r="I139" s="523"/>
      <c r="J139" s="523"/>
      <c r="K139" s="523"/>
      <c r="L139" s="523"/>
      <c r="M139" s="523"/>
      <c r="N139" s="523"/>
      <c r="O139" s="523"/>
      <c r="P139" s="523"/>
      <c r="Q139" s="523"/>
      <c r="R139" s="523"/>
      <c r="S139" s="523"/>
      <c r="T139" s="523"/>
      <c r="U139" s="523"/>
      <c r="V139" s="523"/>
      <c r="W139" s="523"/>
      <c r="X139" s="523"/>
      <c r="Y139" s="523"/>
      <c r="Z139" s="523"/>
      <c r="AA139" s="523"/>
      <c r="AB139" s="523"/>
      <c r="AC139" s="523"/>
      <c r="AD139" s="523"/>
      <c r="AE139" s="523"/>
      <c r="AF139" s="523"/>
      <c r="AG139" s="523"/>
      <c r="AH139" s="523"/>
      <c r="AI139" s="523"/>
      <c r="AJ139" s="523"/>
      <c r="AK139" s="523"/>
      <c r="AL139" s="523"/>
      <c r="AM139" s="523"/>
      <c r="AN139" s="523"/>
      <c r="AO139" s="523"/>
      <c r="AP139" s="523"/>
      <c r="AQ139" s="523"/>
    </row>
    <row r="140" spans="1:43" ht="12.75">
      <c r="A140" s="523" t="s">
        <v>322</v>
      </c>
      <c r="B140" s="523"/>
      <c r="C140" s="523"/>
      <c r="D140" s="523"/>
      <c r="E140" s="523"/>
      <c r="F140" s="523"/>
      <c r="G140" s="523"/>
      <c r="H140" s="523"/>
      <c r="I140" s="523"/>
      <c r="J140" s="523"/>
      <c r="K140" s="523"/>
      <c r="L140" s="523"/>
      <c r="M140" s="523"/>
      <c r="N140" s="523"/>
      <c r="O140" s="523"/>
      <c r="P140" s="523"/>
      <c r="Q140" s="523"/>
      <c r="R140" s="523">
        <v>0.75</v>
      </c>
      <c r="S140" s="523">
        <v>0.78</v>
      </c>
      <c r="T140" s="523">
        <v>0.78</v>
      </c>
      <c r="U140" s="523">
        <v>0.84</v>
      </c>
      <c r="V140" s="523">
        <v>0.84</v>
      </c>
      <c r="W140" s="523"/>
      <c r="X140" s="523"/>
      <c r="Y140" s="523"/>
      <c r="Z140" s="523"/>
      <c r="AA140" s="523"/>
      <c r="AB140" s="523"/>
      <c r="AC140" s="523"/>
      <c r="AD140" s="523"/>
      <c r="AE140" s="523"/>
      <c r="AF140" s="523"/>
      <c r="AG140" s="523"/>
      <c r="AH140" s="523"/>
      <c r="AI140" s="523"/>
      <c r="AJ140" s="523"/>
      <c r="AK140" s="523"/>
      <c r="AL140" s="523"/>
      <c r="AM140" s="523"/>
      <c r="AN140" s="523"/>
      <c r="AO140" s="523"/>
      <c r="AP140" s="523"/>
      <c r="AQ140" s="523"/>
    </row>
    <row r="141" spans="1:43" ht="12.75">
      <c r="A141" s="523" t="s">
        <v>525</v>
      </c>
      <c r="B141" s="523"/>
      <c r="C141" s="523"/>
      <c r="D141" s="523"/>
      <c r="E141" s="523"/>
      <c r="F141" s="523"/>
      <c r="G141" s="523"/>
      <c r="H141" s="523"/>
      <c r="I141" s="523"/>
      <c r="J141" s="523"/>
      <c r="K141" s="523"/>
      <c r="L141" s="523"/>
      <c r="M141" s="523"/>
      <c r="N141" s="523"/>
      <c r="O141" s="523"/>
      <c r="P141" s="523"/>
      <c r="Q141" s="523"/>
      <c r="R141" s="523"/>
      <c r="S141" s="523"/>
      <c r="T141" s="523"/>
      <c r="U141" s="523"/>
      <c r="V141" s="523"/>
      <c r="W141" s="523"/>
      <c r="X141" s="523"/>
      <c r="Y141" s="523"/>
      <c r="Z141" s="523"/>
      <c r="AA141" s="523"/>
      <c r="AB141" s="523"/>
      <c r="AC141" s="523"/>
      <c r="AD141" s="523"/>
      <c r="AE141" s="523"/>
      <c r="AF141" s="523"/>
      <c r="AG141" s="523"/>
      <c r="AH141" s="523"/>
      <c r="AI141" s="523"/>
      <c r="AJ141" s="523"/>
      <c r="AK141" s="523"/>
      <c r="AL141" s="523"/>
      <c r="AM141" s="523"/>
      <c r="AN141" s="523"/>
      <c r="AO141" s="523"/>
      <c r="AP141" s="523"/>
      <c r="AQ141" s="523"/>
    </row>
    <row r="142" spans="1:43" ht="12.75">
      <c r="A142" s="523" t="s">
        <v>526</v>
      </c>
      <c r="B142" s="523"/>
      <c r="C142" s="523"/>
      <c r="D142" s="523"/>
      <c r="E142" s="523"/>
      <c r="F142" s="523"/>
      <c r="G142" s="523"/>
      <c r="H142" s="523"/>
      <c r="I142" s="523"/>
      <c r="J142" s="523"/>
      <c r="K142" s="523"/>
      <c r="L142" s="523"/>
      <c r="M142" s="523"/>
      <c r="N142" s="523"/>
      <c r="O142" s="523"/>
      <c r="P142" s="523"/>
      <c r="Q142" s="523"/>
      <c r="R142" s="523"/>
      <c r="S142" s="523"/>
      <c r="T142" s="523"/>
      <c r="U142" s="523"/>
      <c r="V142" s="523"/>
      <c r="W142" s="523"/>
      <c r="X142" s="523"/>
      <c r="Y142" s="523"/>
      <c r="Z142" s="523"/>
      <c r="AA142" s="523"/>
      <c r="AB142" s="523"/>
      <c r="AC142" s="523"/>
      <c r="AD142" s="523"/>
      <c r="AE142" s="523"/>
      <c r="AF142" s="523"/>
      <c r="AG142" s="523"/>
      <c r="AH142" s="523"/>
      <c r="AI142" s="523"/>
      <c r="AJ142" s="523"/>
      <c r="AK142" s="523"/>
      <c r="AL142" s="523"/>
      <c r="AM142" s="523"/>
      <c r="AN142" s="523"/>
      <c r="AO142" s="523"/>
      <c r="AP142" s="523"/>
      <c r="AQ142" s="523"/>
    </row>
    <row r="143" spans="1:43" ht="12.75">
      <c r="A143" s="523" t="s">
        <v>323</v>
      </c>
      <c r="B143" s="523"/>
      <c r="C143" s="523"/>
      <c r="D143" s="523"/>
      <c r="E143" s="523"/>
      <c r="F143" s="523"/>
      <c r="G143" s="523"/>
      <c r="H143" s="523"/>
      <c r="I143" s="523"/>
      <c r="J143" s="523"/>
      <c r="K143" s="523"/>
      <c r="L143" s="523"/>
      <c r="M143" s="523"/>
      <c r="N143" s="523"/>
      <c r="O143" s="523"/>
      <c r="P143" s="523"/>
      <c r="Q143" s="523"/>
      <c r="R143" s="523">
        <v>0.75</v>
      </c>
      <c r="S143" s="523">
        <v>0.78</v>
      </c>
      <c r="T143" s="523">
        <v>0.78</v>
      </c>
      <c r="U143" s="523">
        <v>0.72</v>
      </c>
      <c r="V143" s="523">
        <v>0.72</v>
      </c>
      <c r="W143" s="523"/>
      <c r="X143" s="523"/>
      <c r="Y143" s="523"/>
      <c r="Z143" s="523"/>
      <c r="AA143" s="523"/>
      <c r="AB143" s="523"/>
      <c r="AC143" s="523"/>
      <c r="AD143" s="523"/>
      <c r="AE143" s="523"/>
      <c r="AF143" s="523"/>
      <c r="AG143" s="523"/>
      <c r="AH143" s="523"/>
      <c r="AI143" s="523"/>
      <c r="AJ143" s="523"/>
      <c r="AK143" s="523"/>
      <c r="AL143" s="523"/>
      <c r="AM143" s="523"/>
      <c r="AN143" s="523"/>
      <c r="AO143" s="549"/>
      <c r="AP143" s="549"/>
      <c r="AQ143" s="549"/>
    </row>
    <row r="144" spans="1:43" ht="12.75">
      <c r="A144" s="523" t="s">
        <v>527</v>
      </c>
      <c r="B144" s="523"/>
      <c r="C144" s="523"/>
      <c r="D144" s="523"/>
      <c r="E144" s="523"/>
      <c r="F144" s="523"/>
      <c r="G144" s="523"/>
      <c r="H144" s="523"/>
      <c r="I144" s="523"/>
      <c r="J144" s="523"/>
      <c r="K144" s="523"/>
      <c r="L144" s="523"/>
      <c r="M144" s="523"/>
      <c r="N144" s="523"/>
      <c r="O144" s="523"/>
      <c r="P144" s="523"/>
      <c r="Q144" s="523"/>
      <c r="R144" s="523"/>
      <c r="S144" s="523"/>
      <c r="T144" s="523"/>
      <c r="U144" s="523"/>
      <c r="V144" s="523"/>
      <c r="W144" s="523"/>
      <c r="X144" s="523"/>
      <c r="Y144" s="523"/>
      <c r="Z144" s="523"/>
      <c r="AA144" s="523"/>
      <c r="AB144" s="523"/>
      <c r="AC144" s="523"/>
      <c r="AD144" s="523"/>
      <c r="AE144" s="523"/>
      <c r="AF144" s="523"/>
      <c r="AG144" s="523"/>
      <c r="AH144" s="523"/>
      <c r="AI144" s="523"/>
      <c r="AJ144" s="523"/>
      <c r="AK144" s="523"/>
      <c r="AL144" s="523"/>
      <c r="AM144" s="523"/>
      <c r="AN144" s="523"/>
      <c r="AO144" s="549"/>
      <c r="AP144" s="549"/>
      <c r="AQ144" s="549"/>
    </row>
    <row r="145" spans="1:43" ht="12.75">
      <c r="A145" s="523" t="s">
        <v>528</v>
      </c>
      <c r="B145" s="523"/>
      <c r="C145" s="523"/>
      <c r="D145" s="523"/>
      <c r="E145" s="523"/>
      <c r="F145" s="523"/>
      <c r="G145" s="523"/>
      <c r="H145" s="523"/>
      <c r="I145" s="523"/>
      <c r="J145" s="523"/>
      <c r="K145" s="523"/>
      <c r="L145" s="523"/>
      <c r="M145" s="523"/>
      <c r="N145" s="523"/>
      <c r="O145" s="523"/>
      <c r="P145" s="523"/>
      <c r="Q145" s="523"/>
      <c r="R145" s="523"/>
      <c r="S145" s="523"/>
      <c r="T145" s="523"/>
      <c r="U145" s="523"/>
      <c r="V145" s="523"/>
      <c r="W145" s="523"/>
      <c r="X145" s="523"/>
      <c r="Y145" s="523"/>
      <c r="Z145" s="523"/>
      <c r="AA145" s="523"/>
      <c r="AB145" s="523"/>
      <c r="AC145" s="523"/>
      <c r="AD145" s="523"/>
      <c r="AE145" s="523"/>
      <c r="AF145" s="523"/>
      <c r="AG145" s="523"/>
      <c r="AH145" s="523"/>
      <c r="AI145" s="523"/>
      <c r="AJ145" s="523"/>
      <c r="AK145" s="523"/>
      <c r="AL145" s="523"/>
      <c r="AM145" s="523"/>
      <c r="AN145" s="523"/>
      <c r="AO145" s="549"/>
      <c r="AP145" s="549"/>
      <c r="AQ145" s="549"/>
    </row>
    <row r="146" spans="1:43" ht="12.75">
      <c r="A146" s="523" t="s">
        <v>324</v>
      </c>
      <c r="B146" s="523"/>
      <c r="C146" s="523"/>
      <c r="D146" s="523"/>
      <c r="E146" s="523"/>
      <c r="F146" s="523"/>
      <c r="G146" s="523"/>
      <c r="H146" s="523"/>
      <c r="I146" s="523"/>
      <c r="J146" s="523"/>
      <c r="K146" s="523"/>
      <c r="L146" s="523"/>
      <c r="M146" s="523"/>
      <c r="N146" s="523"/>
      <c r="O146" s="523"/>
      <c r="P146" s="523"/>
      <c r="Q146" s="523"/>
      <c r="R146" s="523">
        <v>0.75</v>
      </c>
      <c r="S146" s="523">
        <v>0.73</v>
      </c>
      <c r="T146" s="523">
        <v>0.73</v>
      </c>
      <c r="U146" s="523">
        <v>0.84</v>
      </c>
      <c r="V146" s="523">
        <v>0.84</v>
      </c>
      <c r="W146" s="523"/>
      <c r="X146" s="523"/>
      <c r="Y146" s="523"/>
      <c r="Z146" s="523"/>
      <c r="AA146" s="523"/>
      <c r="AB146" s="523"/>
      <c r="AC146" s="523"/>
      <c r="AD146" s="523"/>
      <c r="AE146" s="523"/>
      <c r="AF146" s="523"/>
      <c r="AG146" s="523"/>
      <c r="AH146" s="523"/>
      <c r="AI146" s="523"/>
      <c r="AJ146" s="523"/>
      <c r="AK146" s="523"/>
      <c r="AL146" s="523"/>
      <c r="AM146" s="523"/>
      <c r="AN146" s="523"/>
      <c r="AO146" s="549"/>
      <c r="AP146" s="549"/>
      <c r="AQ146" s="549"/>
    </row>
    <row r="147" spans="1:43" ht="12.75">
      <c r="A147" s="523" t="s">
        <v>529</v>
      </c>
      <c r="B147" s="523"/>
      <c r="C147" s="523"/>
      <c r="D147" s="523"/>
      <c r="E147" s="523"/>
      <c r="F147" s="523"/>
      <c r="G147" s="523"/>
      <c r="H147" s="523"/>
      <c r="I147" s="523"/>
      <c r="J147" s="523"/>
      <c r="K147" s="523"/>
      <c r="L147" s="523"/>
      <c r="M147" s="523"/>
      <c r="N147" s="523"/>
      <c r="O147" s="523"/>
      <c r="P147" s="523"/>
      <c r="Q147" s="523"/>
      <c r="R147" s="523"/>
      <c r="S147" s="523"/>
      <c r="T147" s="523"/>
      <c r="U147" s="523"/>
      <c r="V147" s="523"/>
      <c r="W147" s="523"/>
      <c r="X147" s="523"/>
      <c r="Y147" s="523"/>
      <c r="Z147" s="523"/>
      <c r="AA147" s="523"/>
      <c r="AB147" s="523"/>
      <c r="AC147" s="523"/>
      <c r="AD147" s="523"/>
      <c r="AE147" s="523"/>
      <c r="AF147" s="523"/>
      <c r="AG147" s="523"/>
      <c r="AH147" s="523"/>
      <c r="AI147" s="523"/>
      <c r="AJ147" s="523"/>
      <c r="AK147" s="523"/>
      <c r="AL147" s="523"/>
      <c r="AM147" s="523"/>
      <c r="AN147" s="523"/>
      <c r="AO147" s="549"/>
      <c r="AP147" s="549"/>
      <c r="AQ147" s="549"/>
    </row>
    <row r="148" spans="1:43" ht="12.75">
      <c r="A148" s="523" t="s">
        <v>530</v>
      </c>
      <c r="B148" s="523"/>
      <c r="C148" s="523"/>
      <c r="D148" s="523"/>
      <c r="E148" s="523"/>
      <c r="F148" s="523"/>
      <c r="G148" s="523"/>
      <c r="H148" s="523"/>
      <c r="I148" s="523"/>
      <c r="J148" s="523"/>
      <c r="K148" s="523"/>
      <c r="L148" s="523"/>
      <c r="M148" s="523"/>
      <c r="N148" s="523"/>
      <c r="O148" s="523"/>
      <c r="P148" s="523"/>
      <c r="Q148" s="523"/>
      <c r="R148" s="523"/>
      <c r="S148" s="523"/>
      <c r="T148" s="523"/>
      <c r="U148" s="523"/>
      <c r="V148" s="523"/>
      <c r="W148" s="523"/>
      <c r="X148" s="523"/>
      <c r="Y148" s="523"/>
      <c r="Z148" s="523"/>
      <c r="AA148" s="523"/>
      <c r="AB148" s="523"/>
      <c r="AC148" s="523"/>
      <c r="AD148" s="523"/>
      <c r="AE148" s="523"/>
      <c r="AF148" s="523"/>
      <c r="AG148" s="523"/>
      <c r="AH148" s="523"/>
      <c r="AI148" s="523"/>
      <c r="AJ148" s="523"/>
      <c r="AK148" s="523"/>
      <c r="AL148" s="523"/>
      <c r="AM148" s="523"/>
      <c r="AN148" s="523"/>
      <c r="AO148" s="549"/>
      <c r="AP148" s="549"/>
      <c r="AQ148" s="549"/>
    </row>
    <row r="149" spans="1:43" ht="12.75">
      <c r="A149" s="523" t="s">
        <v>325</v>
      </c>
      <c r="B149" s="523"/>
      <c r="C149" s="523"/>
      <c r="D149" s="523"/>
      <c r="E149" s="523"/>
      <c r="F149" s="523"/>
      <c r="G149" s="523"/>
      <c r="H149" s="523"/>
      <c r="I149" s="523"/>
      <c r="J149" s="523"/>
      <c r="K149" s="523"/>
      <c r="L149" s="523"/>
      <c r="M149" s="523"/>
      <c r="N149" s="523"/>
      <c r="O149" s="523"/>
      <c r="P149" s="523"/>
      <c r="Q149" s="523"/>
      <c r="R149" s="523">
        <v>0.75</v>
      </c>
      <c r="S149" s="523">
        <v>0.78</v>
      </c>
      <c r="T149" s="523">
        <v>0.78</v>
      </c>
      <c r="U149" s="523">
        <v>0.84</v>
      </c>
      <c r="V149" s="523">
        <v>0.84</v>
      </c>
      <c r="W149" s="523"/>
      <c r="X149" s="523"/>
      <c r="Y149" s="523"/>
      <c r="Z149" s="523"/>
      <c r="AA149" s="523"/>
      <c r="AB149" s="523"/>
      <c r="AC149" s="523"/>
      <c r="AD149" s="523"/>
      <c r="AE149" s="523"/>
      <c r="AF149" s="523"/>
      <c r="AG149" s="523"/>
      <c r="AH149" s="523"/>
      <c r="AI149" s="523"/>
      <c r="AJ149" s="523"/>
      <c r="AK149" s="523"/>
      <c r="AL149" s="523"/>
      <c r="AM149" s="523"/>
      <c r="AN149" s="523"/>
      <c r="AO149" s="549"/>
      <c r="AP149" s="549"/>
      <c r="AQ149" s="549"/>
    </row>
    <row r="150" spans="1:43" ht="12.75">
      <c r="A150" s="523" t="s">
        <v>531</v>
      </c>
      <c r="B150" s="523"/>
      <c r="C150" s="523"/>
      <c r="D150" s="523"/>
      <c r="E150" s="523"/>
      <c r="F150" s="523"/>
      <c r="G150" s="523"/>
      <c r="H150" s="523"/>
      <c r="I150" s="523"/>
      <c r="J150" s="523"/>
      <c r="K150" s="523"/>
      <c r="L150" s="523"/>
      <c r="M150" s="523"/>
      <c r="N150" s="523"/>
      <c r="O150" s="523"/>
      <c r="P150" s="523"/>
      <c r="Q150" s="523"/>
      <c r="R150" s="523"/>
      <c r="S150" s="523"/>
      <c r="T150" s="523"/>
      <c r="U150" s="523"/>
      <c r="V150" s="523"/>
      <c r="W150" s="523"/>
      <c r="X150" s="523"/>
      <c r="Y150" s="523"/>
      <c r="Z150" s="523"/>
      <c r="AA150" s="523"/>
      <c r="AB150" s="523"/>
      <c r="AC150" s="523"/>
      <c r="AD150" s="523"/>
      <c r="AE150" s="523"/>
      <c r="AF150" s="523"/>
      <c r="AG150" s="523"/>
      <c r="AH150" s="523"/>
      <c r="AI150" s="523"/>
      <c r="AJ150" s="523"/>
      <c r="AK150" s="523"/>
      <c r="AL150" s="523"/>
      <c r="AM150" s="523"/>
      <c r="AN150" s="523"/>
      <c r="AO150" s="549"/>
      <c r="AP150" s="549"/>
      <c r="AQ150" s="549"/>
    </row>
    <row r="151" spans="1:43" ht="12.75">
      <c r="A151" s="523" t="s">
        <v>532</v>
      </c>
      <c r="B151" s="523"/>
      <c r="C151" s="523"/>
      <c r="D151" s="523"/>
      <c r="E151" s="523"/>
      <c r="F151" s="523"/>
      <c r="G151" s="523"/>
      <c r="H151" s="523"/>
      <c r="I151" s="523"/>
      <c r="J151" s="523"/>
      <c r="K151" s="523"/>
      <c r="L151" s="523"/>
      <c r="M151" s="523"/>
      <c r="N151" s="523"/>
      <c r="O151" s="523"/>
      <c r="P151" s="523"/>
      <c r="Q151" s="523"/>
      <c r="R151" s="523"/>
      <c r="S151" s="523"/>
      <c r="T151" s="523"/>
      <c r="U151" s="523"/>
      <c r="V151" s="523"/>
      <c r="W151" s="523"/>
      <c r="X151" s="523"/>
      <c r="Y151" s="523"/>
      <c r="Z151" s="523"/>
      <c r="AA151" s="523"/>
      <c r="AB151" s="523"/>
      <c r="AC151" s="523"/>
      <c r="AD151" s="523"/>
      <c r="AE151" s="523"/>
      <c r="AF151" s="523"/>
      <c r="AG151" s="523"/>
      <c r="AH151" s="523"/>
      <c r="AI151" s="523"/>
      <c r="AJ151" s="523"/>
      <c r="AK151" s="523"/>
      <c r="AL151" s="523"/>
      <c r="AM151" s="523"/>
      <c r="AN151" s="523"/>
      <c r="AO151" s="549"/>
      <c r="AP151" s="549"/>
      <c r="AQ151" s="549"/>
    </row>
    <row r="152" spans="1:43" ht="12.75">
      <c r="A152" s="523" t="s">
        <v>326</v>
      </c>
      <c r="B152" s="523"/>
      <c r="C152" s="523"/>
      <c r="D152" s="523"/>
      <c r="E152" s="523"/>
      <c r="F152" s="523"/>
      <c r="G152" s="523"/>
      <c r="H152" s="523"/>
      <c r="I152" s="523"/>
      <c r="J152" s="523"/>
      <c r="K152" s="523"/>
      <c r="L152" s="523"/>
      <c r="M152" s="523"/>
      <c r="N152" s="523"/>
      <c r="O152" s="523"/>
      <c r="P152" s="523"/>
      <c r="Q152" s="523"/>
      <c r="R152" s="523">
        <v>0.75</v>
      </c>
      <c r="S152" s="523">
        <v>0.73</v>
      </c>
      <c r="T152" s="523">
        <v>0.73</v>
      </c>
      <c r="U152" s="523">
        <v>0.84</v>
      </c>
      <c r="V152" s="523">
        <v>0.84</v>
      </c>
      <c r="W152" s="523"/>
      <c r="X152" s="523"/>
      <c r="Y152" s="523"/>
      <c r="Z152" s="523"/>
      <c r="AA152" s="523"/>
      <c r="AB152" s="523"/>
      <c r="AC152" s="523"/>
      <c r="AD152" s="523"/>
      <c r="AE152" s="523"/>
      <c r="AF152" s="523"/>
      <c r="AG152" s="523"/>
      <c r="AH152" s="523"/>
      <c r="AI152" s="523"/>
      <c r="AJ152" s="523"/>
      <c r="AK152" s="523"/>
      <c r="AL152" s="523"/>
      <c r="AM152" s="523"/>
      <c r="AN152" s="523"/>
      <c r="AO152" s="549"/>
      <c r="AP152" s="549"/>
      <c r="AQ152" s="549"/>
    </row>
    <row r="153" spans="1:43" ht="12.75">
      <c r="A153" s="523" t="s">
        <v>533</v>
      </c>
      <c r="B153" s="523"/>
      <c r="C153" s="523"/>
      <c r="D153" s="523"/>
      <c r="E153" s="523"/>
      <c r="F153" s="523"/>
      <c r="G153" s="523"/>
      <c r="H153" s="523"/>
      <c r="I153" s="523"/>
      <c r="J153" s="523"/>
      <c r="K153" s="523"/>
      <c r="L153" s="523"/>
      <c r="M153" s="523"/>
      <c r="N153" s="523"/>
      <c r="O153" s="523"/>
      <c r="P153" s="523"/>
      <c r="Q153" s="523"/>
      <c r="R153" s="523"/>
      <c r="S153" s="523"/>
      <c r="T153" s="523"/>
      <c r="U153" s="523"/>
      <c r="V153" s="523"/>
      <c r="W153" s="523"/>
      <c r="X153" s="523"/>
      <c r="Y153" s="523"/>
      <c r="Z153" s="523"/>
      <c r="AA153" s="523"/>
      <c r="AB153" s="523"/>
      <c r="AC153" s="523"/>
      <c r="AD153" s="523"/>
      <c r="AE153" s="523"/>
      <c r="AF153" s="523"/>
      <c r="AG153" s="523"/>
      <c r="AH153" s="523"/>
      <c r="AI153" s="523"/>
      <c r="AJ153" s="523"/>
      <c r="AK153" s="523"/>
      <c r="AL153" s="523"/>
      <c r="AM153" s="523"/>
      <c r="AN153" s="523"/>
      <c r="AO153" s="549"/>
      <c r="AP153" s="549"/>
      <c r="AQ153" s="549"/>
    </row>
    <row r="154" spans="1:43" ht="12.75">
      <c r="A154" s="523" t="s">
        <v>534</v>
      </c>
      <c r="B154" s="523"/>
      <c r="C154" s="523"/>
      <c r="D154" s="523"/>
      <c r="E154" s="523"/>
      <c r="F154" s="523"/>
      <c r="G154" s="523"/>
      <c r="H154" s="523"/>
      <c r="I154" s="523"/>
      <c r="J154" s="523"/>
      <c r="K154" s="523"/>
      <c r="L154" s="523"/>
      <c r="M154" s="523"/>
      <c r="N154" s="523"/>
      <c r="O154" s="523"/>
      <c r="P154" s="523"/>
      <c r="Q154" s="523"/>
      <c r="R154" s="523"/>
      <c r="S154" s="523"/>
      <c r="T154" s="523"/>
      <c r="U154" s="523"/>
      <c r="V154" s="523"/>
      <c r="W154" s="523"/>
      <c r="X154" s="523"/>
      <c r="Y154" s="523"/>
      <c r="Z154" s="523"/>
      <c r="AA154" s="523"/>
      <c r="AB154" s="523"/>
      <c r="AC154" s="523"/>
      <c r="AD154" s="523"/>
      <c r="AE154" s="523"/>
      <c r="AF154" s="523"/>
      <c r="AG154" s="523"/>
      <c r="AH154" s="523"/>
      <c r="AI154" s="523"/>
      <c r="AJ154" s="523"/>
      <c r="AK154" s="523"/>
      <c r="AL154" s="523"/>
      <c r="AM154" s="523"/>
      <c r="AN154" s="523"/>
      <c r="AO154" s="549"/>
      <c r="AP154" s="549"/>
      <c r="AQ154" s="549"/>
    </row>
    <row r="155" spans="1:43" ht="12.75">
      <c r="A155" s="523" t="s">
        <v>327</v>
      </c>
      <c r="B155" s="523"/>
      <c r="C155" s="523"/>
      <c r="D155" s="523"/>
      <c r="E155" s="523"/>
      <c r="F155" s="523"/>
      <c r="G155" s="523"/>
      <c r="H155" s="523"/>
      <c r="I155" s="523"/>
      <c r="J155" s="523"/>
      <c r="K155" s="523"/>
      <c r="L155" s="523"/>
      <c r="M155" s="523"/>
      <c r="N155" s="523"/>
      <c r="O155" s="523"/>
      <c r="P155" s="523"/>
      <c r="Q155" s="523"/>
      <c r="R155" s="523">
        <v>0.75</v>
      </c>
      <c r="S155" s="523">
        <v>0.73</v>
      </c>
      <c r="T155" s="523">
        <v>0.73</v>
      </c>
      <c r="U155" s="523">
        <v>0.72</v>
      </c>
      <c r="V155" s="523">
        <v>0.72</v>
      </c>
      <c r="W155" s="523"/>
      <c r="X155" s="523"/>
      <c r="Y155" s="523"/>
      <c r="Z155" s="523"/>
      <c r="AA155" s="523"/>
      <c r="AB155" s="523"/>
      <c r="AC155" s="523"/>
      <c r="AD155" s="523"/>
      <c r="AE155" s="523"/>
      <c r="AF155" s="523"/>
      <c r="AG155" s="523"/>
      <c r="AH155" s="523"/>
      <c r="AI155" s="523"/>
      <c r="AJ155" s="523"/>
      <c r="AK155" s="523"/>
      <c r="AL155" s="523"/>
      <c r="AM155" s="523"/>
      <c r="AN155" s="523"/>
      <c r="AO155" s="549"/>
      <c r="AP155" s="549"/>
      <c r="AQ155" s="549"/>
    </row>
    <row r="156" spans="1:43" ht="12.75">
      <c r="A156" s="523" t="s">
        <v>535</v>
      </c>
      <c r="B156" s="523"/>
      <c r="C156" s="523"/>
      <c r="D156" s="523"/>
      <c r="E156" s="523"/>
      <c r="F156" s="523"/>
      <c r="G156" s="523"/>
      <c r="H156" s="523"/>
      <c r="I156" s="523"/>
      <c r="J156" s="523"/>
      <c r="K156" s="523"/>
      <c r="L156" s="523"/>
      <c r="M156" s="523"/>
      <c r="N156" s="523"/>
      <c r="O156" s="523"/>
      <c r="P156" s="523"/>
      <c r="Q156" s="523"/>
      <c r="R156" s="523"/>
      <c r="S156" s="523"/>
      <c r="T156" s="523"/>
      <c r="U156" s="523"/>
      <c r="V156" s="523"/>
      <c r="W156" s="523"/>
      <c r="X156" s="523"/>
      <c r="Y156" s="523"/>
      <c r="Z156" s="523"/>
      <c r="AA156" s="523"/>
      <c r="AB156" s="523"/>
      <c r="AC156" s="523"/>
      <c r="AD156" s="523"/>
      <c r="AE156" s="523"/>
      <c r="AF156" s="523"/>
      <c r="AG156" s="523"/>
      <c r="AH156" s="523"/>
      <c r="AI156" s="523"/>
      <c r="AJ156" s="523"/>
      <c r="AK156" s="523"/>
      <c r="AL156" s="523"/>
      <c r="AM156" s="523"/>
      <c r="AN156" s="523"/>
      <c r="AO156" s="549"/>
      <c r="AP156" s="549"/>
      <c r="AQ156" s="549"/>
    </row>
    <row r="157" spans="1:43" ht="12.75">
      <c r="A157" s="523" t="s">
        <v>536</v>
      </c>
      <c r="B157" s="523"/>
      <c r="C157" s="523"/>
      <c r="D157" s="523"/>
      <c r="E157" s="523"/>
      <c r="F157" s="523"/>
      <c r="G157" s="523"/>
      <c r="H157" s="523"/>
      <c r="I157" s="523"/>
      <c r="J157" s="523"/>
      <c r="K157" s="523"/>
      <c r="L157" s="523"/>
      <c r="M157" s="523"/>
      <c r="N157" s="523"/>
      <c r="O157" s="523"/>
      <c r="P157" s="523"/>
      <c r="Q157" s="523"/>
      <c r="R157" s="523"/>
      <c r="S157" s="523"/>
      <c r="T157" s="523"/>
      <c r="U157" s="523"/>
      <c r="V157" s="523"/>
      <c r="W157" s="523"/>
      <c r="X157" s="523"/>
      <c r="Y157" s="523"/>
      <c r="Z157" s="523"/>
      <c r="AA157" s="523"/>
      <c r="AB157" s="523"/>
      <c r="AC157" s="523"/>
      <c r="AD157" s="523"/>
      <c r="AE157" s="523"/>
      <c r="AF157" s="523"/>
      <c r="AG157" s="523"/>
      <c r="AH157" s="523"/>
      <c r="AI157" s="523"/>
      <c r="AJ157" s="523"/>
      <c r="AK157" s="523"/>
      <c r="AL157" s="523"/>
      <c r="AM157" s="523"/>
      <c r="AN157" s="523"/>
      <c r="AO157" s="549"/>
      <c r="AP157" s="549"/>
      <c r="AQ157" s="549"/>
    </row>
    <row r="158" spans="1:43" ht="12.75">
      <c r="A158" s="523" t="s">
        <v>328</v>
      </c>
      <c r="B158" s="523"/>
      <c r="C158" s="523"/>
      <c r="D158" s="523"/>
      <c r="E158" s="523"/>
      <c r="F158" s="523"/>
      <c r="G158" s="523"/>
      <c r="H158" s="523"/>
      <c r="I158" s="523"/>
      <c r="J158" s="523"/>
      <c r="K158" s="523"/>
      <c r="L158" s="523"/>
      <c r="M158" s="523"/>
      <c r="N158" s="523"/>
      <c r="O158" s="523"/>
      <c r="P158" s="523"/>
      <c r="Q158" s="523"/>
      <c r="R158" s="523">
        <v>0.75</v>
      </c>
      <c r="S158" s="523">
        <v>0.78</v>
      </c>
      <c r="T158" s="523">
        <v>0.78</v>
      </c>
      <c r="U158" s="523">
        <v>0.84</v>
      </c>
      <c r="V158" s="523">
        <v>0.84</v>
      </c>
      <c r="W158" s="523"/>
      <c r="X158" s="523"/>
      <c r="Y158" s="523"/>
      <c r="Z158" s="523"/>
      <c r="AA158" s="523"/>
      <c r="AB158" s="523"/>
      <c r="AC158" s="523"/>
      <c r="AD158" s="523"/>
      <c r="AE158" s="523"/>
      <c r="AF158" s="523"/>
      <c r="AG158" s="523"/>
      <c r="AH158" s="523"/>
      <c r="AI158" s="523"/>
      <c r="AJ158" s="523"/>
      <c r="AK158" s="523"/>
      <c r="AL158" s="523"/>
      <c r="AM158" s="523"/>
      <c r="AN158" s="523"/>
      <c r="AO158" s="549"/>
      <c r="AP158" s="549"/>
      <c r="AQ158" s="549"/>
    </row>
    <row r="159" spans="1:43" ht="12.75">
      <c r="A159" s="523" t="s">
        <v>537</v>
      </c>
      <c r="B159" s="523"/>
      <c r="C159" s="523"/>
      <c r="D159" s="523"/>
      <c r="E159" s="523"/>
      <c r="F159" s="523"/>
      <c r="G159" s="523"/>
      <c r="H159" s="523"/>
      <c r="I159" s="523"/>
      <c r="J159" s="523"/>
      <c r="K159" s="523"/>
      <c r="L159" s="523"/>
      <c r="M159" s="523"/>
      <c r="N159" s="523"/>
      <c r="O159" s="523"/>
      <c r="P159" s="523"/>
      <c r="Q159" s="523"/>
      <c r="R159" s="523"/>
      <c r="S159" s="523"/>
      <c r="T159" s="523"/>
      <c r="U159" s="523"/>
      <c r="V159" s="523"/>
      <c r="W159" s="523"/>
      <c r="X159" s="523"/>
      <c r="Y159" s="523"/>
      <c r="Z159" s="523"/>
      <c r="AA159" s="523"/>
      <c r="AB159" s="523"/>
      <c r="AC159" s="523"/>
      <c r="AD159" s="523"/>
      <c r="AE159" s="523"/>
      <c r="AF159" s="523"/>
      <c r="AG159" s="523"/>
      <c r="AH159" s="523"/>
      <c r="AI159" s="523"/>
      <c r="AJ159" s="523"/>
      <c r="AK159" s="523"/>
      <c r="AL159" s="523"/>
      <c r="AM159" s="523"/>
      <c r="AN159" s="523"/>
      <c r="AO159" s="549"/>
      <c r="AP159" s="549"/>
      <c r="AQ159" s="549"/>
    </row>
    <row r="160" spans="1:43" ht="12.75">
      <c r="A160" s="523" t="s">
        <v>538</v>
      </c>
      <c r="B160" s="523"/>
      <c r="C160" s="523"/>
      <c r="D160" s="523"/>
      <c r="E160" s="523"/>
      <c r="F160" s="523"/>
      <c r="G160" s="523"/>
      <c r="H160" s="523"/>
      <c r="I160" s="523"/>
      <c r="J160" s="523"/>
      <c r="K160" s="523"/>
      <c r="L160" s="523"/>
      <c r="M160" s="523"/>
      <c r="N160" s="523"/>
      <c r="O160" s="523"/>
      <c r="P160" s="523"/>
      <c r="Q160" s="523"/>
      <c r="R160" s="523"/>
      <c r="S160" s="523"/>
      <c r="T160" s="523"/>
      <c r="U160" s="523"/>
      <c r="V160" s="523"/>
      <c r="W160" s="523"/>
      <c r="X160" s="523"/>
      <c r="Y160" s="523"/>
      <c r="Z160" s="523"/>
      <c r="AA160" s="523"/>
      <c r="AB160" s="523"/>
      <c r="AC160" s="523"/>
      <c r="AD160" s="523"/>
      <c r="AE160" s="523"/>
      <c r="AF160" s="523"/>
      <c r="AG160" s="523"/>
      <c r="AH160" s="523"/>
      <c r="AI160" s="523"/>
      <c r="AJ160" s="523"/>
      <c r="AK160" s="523"/>
      <c r="AL160" s="523"/>
      <c r="AM160" s="523"/>
      <c r="AN160" s="523"/>
      <c r="AO160" s="549"/>
      <c r="AP160" s="549"/>
      <c r="AQ160" s="549"/>
    </row>
    <row r="161" spans="1:43" ht="12.75">
      <c r="A161" s="523" t="s">
        <v>329</v>
      </c>
      <c r="B161" s="523"/>
      <c r="C161" s="523"/>
      <c r="D161" s="523"/>
      <c r="E161" s="523"/>
      <c r="F161" s="523"/>
      <c r="G161" s="523"/>
      <c r="H161" s="523"/>
      <c r="I161" s="523"/>
      <c r="J161" s="523"/>
      <c r="K161" s="523"/>
      <c r="L161" s="523"/>
      <c r="M161" s="523"/>
      <c r="N161" s="523"/>
      <c r="O161" s="523"/>
      <c r="P161" s="523"/>
      <c r="Q161" s="523"/>
      <c r="R161" s="523">
        <v>0.72</v>
      </c>
      <c r="S161" s="523">
        <v>0.78</v>
      </c>
      <c r="T161" s="523">
        <v>0.78</v>
      </c>
      <c r="U161" s="523">
        <v>0.84</v>
      </c>
      <c r="V161" s="523">
        <v>0.84</v>
      </c>
      <c r="W161" s="523"/>
      <c r="X161" s="523"/>
      <c r="Y161" s="523"/>
      <c r="Z161" s="523"/>
      <c r="AA161" s="523"/>
      <c r="AB161" s="523"/>
      <c r="AC161" s="523"/>
      <c r="AD161" s="523"/>
      <c r="AE161" s="523"/>
      <c r="AF161" s="523"/>
      <c r="AG161" s="523"/>
      <c r="AH161" s="523"/>
      <c r="AI161" s="523"/>
      <c r="AJ161" s="523"/>
      <c r="AK161" s="523"/>
      <c r="AL161" s="523"/>
      <c r="AM161" s="523"/>
      <c r="AN161" s="523"/>
      <c r="AO161" s="549"/>
      <c r="AP161" s="549"/>
      <c r="AQ161" s="549"/>
    </row>
    <row r="162" spans="1:43" ht="12.75">
      <c r="A162" s="523" t="s">
        <v>539</v>
      </c>
      <c r="B162" s="523"/>
      <c r="C162" s="523"/>
      <c r="D162" s="523"/>
      <c r="E162" s="523"/>
      <c r="F162" s="523"/>
      <c r="G162" s="523"/>
      <c r="H162" s="523"/>
      <c r="I162" s="523"/>
      <c r="J162" s="523"/>
      <c r="K162" s="523"/>
      <c r="L162" s="523"/>
      <c r="M162" s="523"/>
      <c r="N162" s="523"/>
      <c r="O162" s="523"/>
      <c r="P162" s="523"/>
      <c r="Q162" s="523"/>
      <c r="R162" s="523"/>
      <c r="S162" s="523"/>
      <c r="T162" s="523"/>
      <c r="U162" s="523"/>
      <c r="V162" s="523"/>
      <c r="W162" s="523"/>
      <c r="X162" s="523"/>
      <c r="Y162" s="523"/>
      <c r="Z162" s="523"/>
      <c r="AA162" s="523"/>
      <c r="AB162" s="523"/>
      <c r="AC162" s="523"/>
      <c r="AD162" s="523"/>
      <c r="AE162" s="523"/>
      <c r="AF162" s="523"/>
      <c r="AG162" s="523"/>
      <c r="AH162" s="523"/>
      <c r="AI162" s="523"/>
      <c r="AJ162" s="523"/>
      <c r="AK162" s="523"/>
      <c r="AL162" s="523"/>
      <c r="AM162" s="523"/>
      <c r="AN162" s="523"/>
      <c r="AO162" s="549"/>
      <c r="AP162" s="549"/>
      <c r="AQ162" s="549"/>
    </row>
    <row r="163" spans="1:43" ht="12.75">
      <c r="A163" s="523" t="s">
        <v>540</v>
      </c>
      <c r="B163" s="523"/>
      <c r="C163" s="523"/>
      <c r="D163" s="523"/>
      <c r="E163" s="523"/>
      <c r="F163" s="523"/>
      <c r="G163" s="523"/>
      <c r="H163" s="523"/>
      <c r="I163" s="523"/>
      <c r="J163" s="523"/>
      <c r="K163" s="523"/>
      <c r="L163" s="523"/>
      <c r="M163" s="523"/>
      <c r="N163" s="523"/>
      <c r="O163" s="523"/>
      <c r="P163" s="523"/>
      <c r="Q163" s="523"/>
      <c r="R163" s="523"/>
      <c r="S163" s="523"/>
      <c r="T163" s="523"/>
      <c r="U163" s="523"/>
      <c r="V163" s="523"/>
      <c r="W163" s="523"/>
      <c r="X163" s="523"/>
      <c r="Y163" s="523"/>
      <c r="Z163" s="523"/>
      <c r="AA163" s="523"/>
      <c r="AB163" s="523"/>
      <c r="AC163" s="523"/>
      <c r="AD163" s="523"/>
      <c r="AE163" s="523"/>
      <c r="AF163" s="523"/>
      <c r="AG163" s="523"/>
      <c r="AH163" s="523"/>
      <c r="AI163" s="523"/>
      <c r="AJ163" s="523"/>
      <c r="AK163" s="523"/>
      <c r="AL163" s="523"/>
      <c r="AM163" s="523"/>
      <c r="AN163" s="523"/>
      <c r="AO163" s="549"/>
      <c r="AP163" s="549"/>
      <c r="AQ163" s="549"/>
    </row>
    <row r="164" spans="1:43" ht="12.75">
      <c r="A164" s="523" t="s">
        <v>330</v>
      </c>
      <c r="B164" s="523"/>
      <c r="C164" s="523"/>
      <c r="D164" s="523"/>
      <c r="E164" s="523"/>
      <c r="F164" s="523"/>
      <c r="G164" s="523"/>
      <c r="H164" s="523"/>
      <c r="I164" s="523"/>
      <c r="J164" s="523"/>
      <c r="K164" s="523"/>
      <c r="L164" s="523"/>
      <c r="M164" s="523"/>
      <c r="N164" s="523"/>
      <c r="O164" s="523"/>
      <c r="P164" s="523"/>
      <c r="Q164" s="523"/>
      <c r="R164" s="523">
        <v>0.75</v>
      </c>
      <c r="S164" s="523">
        <v>0.78</v>
      </c>
      <c r="T164" s="523">
        <v>0.78</v>
      </c>
      <c r="U164" s="523">
        <v>0.84</v>
      </c>
      <c r="V164" s="523">
        <v>0.84</v>
      </c>
      <c r="W164" s="523"/>
      <c r="X164" s="523"/>
      <c r="Y164" s="523"/>
      <c r="Z164" s="523"/>
      <c r="AA164" s="523"/>
      <c r="AB164" s="523"/>
      <c r="AC164" s="523"/>
      <c r="AD164" s="523"/>
      <c r="AE164" s="523"/>
      <c r="AF164" s="523"/>
      <c r="AG164" s="523"/>
      <c r="AH164" s="523"/>
      <c r="AI164" s="523"/>
      <c r="AJ164" s="523"/>
      <c r="AK164" s="523"/>
      <c r="AL164" s="523"/>
      <c r="AM164" s="523"/>
      <c r="AN164" s="523"/>
      <c r="AO164" s="549"/>
      <c r="AP164" s="549"/>
      <c r="AQ164" s="549"/>
    </row>
    <row r="165" spans="1:43" s="536" customFormat="1" ht="12.75">
      <c r="A165" s="539" t="s">
        <v>550</v>
      </c>
      <c r="B165" s="548"/>
      <c r="C165" s="548"/>
      <c r="D165" s="548"/>
      <c r="E165" s="548"/>
      <c r="F165" s="548"/>
      <c r="G165" s="548"/>
      <c r="H165" s="548"/>
      <c r="I165" s="548"/>
      <c r="J165" s="548"/>
      <c r="K165" s="548"/>
      <c r="L165" s="548"/>
      <c r="M165" s="548"/>
      <c r="N165" s="548"/>
      <c r="O165" s="548"/>
      <c r="P165" s="548"/>
      <c r="Q165" s="548"/>
      <c r="R165" s="548">
        <v>1</v>
      </c>
      <c r="S165" s="548">
        <v>0.81</v>
      </c>
      <c r="T165" s="548"/>
      <c r="U165" s="548">
        <v>0.68</v>
      </c>
      <c r="V165" s="548"/>
      <c r="W165" s="548"/>
      <c r="X165" s="548"/>
      <c r="Y165" s="548"/>
      <c r="Z165" s="548"/>
      <c r="AA165" s="548"/>
      <c r="AB165" s="548"/>
      <c r="AC165" s="548"/>
      <c r="AD165" s="548"/>
      <c r="AE165" s="548"/>
      <c r="AF165" s="548"/>
      <c r="AG165" s="548"/>
      <c r="AH165" s="548"/>
      <c r="AI165" s="548"/>
      <c r="AJ165" s="548"/>
      <c r="AK165" s="548"/>
      <c r="AL165" s="548"/>
      <c r="AM165" s="548"/>
      <c r="AN165" s="548"/>
      <c r="AO165" s="548"/>
      <c r="AP165" s="548"/>
      <c r="AQ165" s="548"/>
    </row>
    <row r="166" spans="1:43" ht="12.75">
      <c r="A166" s="522" t="s">
        <v>551</v>
      </c>
      <c r="B166" s="523">
        <v>0.59</v>
      </c>
      <c r="C166" s="523">
        <v>0.59</v>
      </c>
      <c r="D166" s="523"/>
      <c r="E166" s="523"/>
      <c r="F166" s="523">
        <v>0.59</v>
      </c>
      <c r="G166" s="523">
        <v>0.59</v>
      </c>
      <c r="H166" s="523"/>
      <c r="I166" s="523"/>
      <c r="J166" s="523">
        <v>0.59</v>
      </c>
      <c r="K166" s="523">
        <v>0.48</v>
      </c>
      <c r="L166" s="523"/>
      <c r="M166" s="523"/>
      <c r="N166" s="523"/>
      <c r="O166" s="523"/>
      <c r="P166" s="523"/>
      <c r="Q166" s="523">
        <v>1</v>
      </c>
      <c r="R166" s="523">
        <v>1</v>
      </c>
      <c r="S166" s="523"/>
      <c r="T166" s="523">
        <v>0.81</v>
      </c>
      <c r="U166" s="523"/>
      <c r="V166" s="523">
        <v>0.68</v>
      </c>
      <c r="W166" s="523"/>
      <c r="X166" s="523"/>
      <c r="Y166" s="523"/>
      <c r="Z166" s="523"/>
      <c r="AA166" s="523">
        <v>1</v>
      </c>
      <c r="AB166" s="523"/>
      <c r="AC166" s="523">
        <v>1</v>
      </c>
      <c r="AD166" s="523">
        <v>1</v>
      </c>
      <c r="AE166" s="523"/>
      <c r="AF166" s="523"/>
      <c r="AG166" s="523">
        <v>0.81</v>
      </c>
      <c r="AH166" s="523">
        <v>0.81</v>
      </c>
      <c r="AI166" s="523"/>
      <c r="AJ166" s="523"/>
      <c r="AK166" s="523">
        <v>0.81</v>
      </c>
      <c r="AL166" s="523">
        <v>0.81</v>
      </c>
      <c r="AM166" s="523"/>
      <c r="AN166" s="523"/>
      <c r="AO166" s="523"/>
      <c r="AP166" s="523"/>
      <c r="AQ166" s="523"/>
    </row>
    <row r="167" spans="1:43" ht="12.75">
      <c r="A167" s="522" t="s">
        <v>552</v>
      </c>
      <c r="B167" s="523"/>
      <c r="C167" s="523"/>
      <c r="D167" s="523"/>
      <c r="E167" s="523"/>
      <c r="F167" s="523"/>
      <c r="G167" s="523"/>
      <c r="H167" s="523"/>
      <c r="I167" s="523"/>
      <c r="J167" s="523"/>
      <c r="K167" s="523"/>
      <c r="L167" s="523"/>
      <c r="M167" s="523"/>
      <c r="N167" s="523"/>
      <c r="O167" s="523"/>
      <c r="P167" s="523"/>
      <c r="Q167" s="523"/>
      <c r="R167" s="523">
        <v>0.55</v>
      </c>
      <c r="S167" s="523">
        <v>0.81</v>
      </c>
      <c r="T167" s="523"/>
      <c r="U167" s="523">
        <v>0.68</v>
      </c>
      <c r="V167" s="523"/>
      <c r="W167" s="523"/>
      <c r="X167" s="523"/>
      <c r="Y167" s="523"/>
      <c r="Z167" s="523"/>
      <c r="AA167" s="523"/>
      <c r="AB167" s="523"/>
      <c r="AC167" s="523"/>
      <c r="AD167" s="523"/>
      <c r="AE167" s="523"/>
      <c r="AF167" s="523"/>
      <c r="AG167" s="523"/>
      <c r="AH167" s="523"/>
      <c r="AI167" s="523"/>
      <c r="AJ167" s="523"/>
      <c r="AK167" s="523"/>
      <c r="AL167" s="523"/>
      <c r="AM167" s="523"/>
      <c r="AN167" s="523"/>
      <c r="AO167" s="523"/>
      <c r="AP167" s="523"/>
      <c r="AQ167" s="523"/>
    </row>
    <row r="168" spans="1:43" ht="12.75">
      <c r="A168" s="522" t="s">
        <v>553</v>
      </c>
      <c r="B168" s="523">
        <v>0.59</v>
      </c>
      <c r="C168" s="523">
        <v>0.59</v>
      </c>
      <c r="D168" s="523"/>
      <c r="E168" s="523"/>
      <c r="F168" s="523">
        <v>0.59</v>
      </c>
      <c r="G168" s="523">
        <v>0.59</v>
      </c>
      <c r="H168" s="523"/>
      <c r="I168" s="523"/>
      <c r="J168" s="523">
        <v>0.59</v>
      </c>
      <c r="K168" s="523">
        <v>0.48</v>
      </c>
      <c r="L168" s="523"/>
      <c r="M168" s="523"/>
      <c r="N168" s="523"/>
      <c r="O168" s="523"/>
      <c r="P168" s="523"/>
      <c r="Q168" s="523">
        <v>1</v>
      </c>
      <c r="R168" s="523">
        <v>1</v>
      </c>
      <c r="S168" s="523"/>
      <c r="T168" s="523">
        <v>0.81</v>
      </c>
      <c r="U168" s="523"/>
      <c r="V168" s="523">
        <v>0.68</v>
      </c>
      <c r="W168" s="523"/>
      <c r="X168" s="523"/>
      <c r="Y168" s="523"/>
      <c r="Z168" s="523"/>
      <c r="AA168" s="523">
        <v>1</v>
      </c>
      <c r="AB168" s="523"/>
      <c r="AC168" s="523">
        <v>1</v>
      </c>
      <c r="AD168" s="523">
        <v>0.81</v>
      </c>
      <c r="AE168" s="523"/>
      <c r="AF168" s="523"/>
      <c r="AG168" s="523">
        <v>0.81</v>
      </c>
      <c r="AH168" s="523">
        <v>0.81</v>
      </c>
      <c r="AI168" s="523"/>
      <c r="AJ168" s="523"/>
      <c r="AK168" s="523">
        <v>0.81</v>
      </c>
      <c r="AL168" s="523">
        <v>0.81</v>
      </c>
      <c r="AM168" s="523"/>
      <c r="AN168" s="523"/>
      <c r="AO168" s="523"/>
      <c r="AP168" s="523"/>
      <c r="AQ168" s="523"/>
    </row>
    <row r="169" spans="1:43" ht="12.75">
      <c r="A169" s="522" t="s">
        <v>554</v>
      </c>
      <c r="B169" s="523"/>
      <c r="C169" s="523"/>
      <c r="D169" s="523"/>
      <c r="E169" s="523"/>
      <c r="F169" s="523"/>
      <c r="G169" s="523"/>
      <c r="H169" s="523"/>
      <c r="I169" s="523"/>
      <c r="J169" s="523"/>
      <c r="K169" s="523"/>
      <c r="L169" s="523"/>
      <c r="M169" s="523"/>
      <c r="N169" s="523"/>
      <c r="O169" s="523"/>
      <c r="P169" s="523"/>
      <c r="Q169" s="523"/>
      <c r="R169" s="523">
        <v>1</v>
      </c>
      <c r="S169" s="523">
        <v>0.81</v>
      </c>
      <c r="T169" s="523"/>
      <c r="U169" s="523">
        <v>1</v>
      </c>
      <c r="V169" s="523"/>
      <c r="W169" s="523"/>
      <c r="X169" s="523"/>
      <c r="Y169" s="523"/>
      <c r="Z169" s="523"/>
      <c r="AA169" s="523"/>
      <c r="AB169" s="523"/>
      <c r="AC169" s="523"/>
      <c r="AD169" s="523"/>
      <c r="AE169" s="523"/>
      <c r="AF169" s="523"/>
      <c r="AG169" s="523"/>
      <c r="AH169" s="523"/>
      <c r="AI169" s="523"/>
      <c r="AJ169" s="523"/>
      <c r="AK169" s="523"/>
      <c r="AL169" s="523"/>
      <c r="AM169" s="523"/>
      <c r="AN169" s="523"/>
      <c r="AO169" s="523"/>
      <c r="AP169" s="523"/>
      <c r="AQ169" s="523"/>
    </row>
    <row r="170" spans="1:43" ht="12.75">
      <c r="A170" s="522" t="s">
        <v>555</v>
      </c>
      <c r="B170" s="523">
        <v>0.59</v>
      </c>
      <c r="C170" s="523">
        <v>0.59</v>
      </c>
      <c r="D170" s="523"/>
      <c r="E170" s="523"/>
      <c r="F170" s="523">
        <v>0.59</v>
      </c>
      <c r="G170" s="523">
        <v>0.59</v>
      </c>
      <c r="H170" s="523"/>
      <c r="I170" s="523"/>
      <c r="J170" s="523">
        <v>0.59</v>
      </c>
      <c r="K170" s="523">
        <v>0.48</v>
      </c>
      <c r="L170" s="523"/>
      <c r="M170" s="523"/>
      <c r="N170" s="523"/>
      <c r="O170" s="523"/>
      <c r="P170" s="523"/>
      <c r="Q170" s="523">
        <v>1</v>
      </c>
      <c r="R170" s="523">
        <v>1</v>
      </c>
      <c r="S170" s="523"/>
      <c r="T170" s="523">
        <v>0.81</v>
      </c>
      <c r="U170" s="523"/>
      <c r="V170" s="523">
        <v>0.68</v>
      </c>
      <c r="W170" s="523"/>
      <c r="X170" s="523"/>
      <c r="Y170" s="523"/>
      <c r="Z170" s="523"/>
      <c r="AA170" s="523">
        <v>1</v>
      </c>
      <c r="AB170" s="523"/>
      <c r="AC170" s="523">
        <v>1</v>
      </c>
      <c r="AD170" s="523">
        <v>1</v>
      </c>
      <c r="AE170" s="523"/>
      <c r="AF170" s="523"/>
      <c r="AG170" s="523">
        <v>0.81</v>
      </c>
      <c r="AH170" s="523">
        <v>1</v>
      </c>
      <c r="AI170" s="523"/>
      <c r="AJ170" s="523"/>
      <c r="AK170" s="523">
        <v>0.81</v>
      </c>
      <c r="AL170" s="523">
        <v>0.81</v>
      </c>
      <c r="AM170" s="523"/>
      <c r="AN170" s="523"/>
      <c r="AO170" s="523"/>
      <c r="AP170" s="523"/>
      <c r="AQ170" s="523"/>
    </row>
    <row r="171" spans="1:43" ht="12.75">
      <c r="A171" s="522" t="s">
        <v>556</v>
      </c>
      <c r="B171" s="523"/>
      <c r="C171" s="523"/>
      <c r="D171" s="523"/>
      <c r="E171" s="523"/>
      <c r="F171" s="523"/>
      <c r="G171" s="523"/>
      <c r="H171" s="523"/>
      <c r="I171" s="523"/>
      <c r="J171" s="523"/>
      <c r="K171" s="523"/>
      <c r="L171" s="523"/>
      <c r="M171" s="523"/>
      <c r="N171" s="523"/>
      <c r="O171" s="523"/>
      <c r="P171" s="523"/>
      <c r="Q171" s="523"/>
      <c r="R171" s="523">
        <v>0.55</v>
      </c>
      <c r="S171" s="523">
        <v>0.74</v>
      </c>
      <c r="T171" s="523"/>
      <c r="U171" s="523">
        <v>0.68</v>
      </c>
      <c r="V171" s="523"/>
      <c r="W171" s="523"/>
      <c r="X171" s="523"/>
      <c r="Y171" s="523"/>
      <c r="Z171" s="523"/>
      <c r="AA171" s="523"/>
      <c r="AB171" s="523"/>
      <c r="AC171" s="523"/>
      <c r="AD171" s="523"/>
      <c r="AE171" s="523"/>
      <c r="AF171" s="523"/>
      <c r="AG171" s="523"/>
      <c r="AH171" s="523"/>
      <c r="AI171" s="523"/>
      <c r="AJ171" s="523"/>
      <c r="AK171" s="523"/>
      <c r="AL171" s="523"/>
      <c r="AM171" s="523"/>
      <c r="AN171" s="523"/>
      <c r="AO171" s="523"/>
      <c r="AP171" s="523"/>
      <c r="AQ171" s="523"/>
    </row>
    <row r="172" spans="1:43" ht="12.75">
      <c r="A172" s="522" t="s">
        <v>557</v>
      </c>
      <c r="B172" s="523">
        <v>0.48</v>
      </c>
      <c r="C172" s="523">
        <v>0.59</v>
      </c>
      <c r="D172" s="523"/>
      <c r="E172" s="523"/>
      <c r="F172" s="523">
        <v>0.59</v>
      </c>
      <c r="G172" s="523">
        <v>0.59</v>
      </c>
      <c r="H172" s="523"/>
      <c r="I172" s="523"/>
      <c r="J172" s="523">
        <v>0.59</v>
      </c>
      <c r="K172" s="523">
        <v>0.59</v>
      </c>
      <c r="L172" s="523"/>
      <c r="M172" s="523"/>
      <c r="N172" s="523"/>
      <c r="O172" s="523"/>
      <c r="P172" s="523"/>
      <c r="Q172" s="523">
        <v>1</v>
      </c>
      <c r="R172" s="523">
        <v>1</v>
      </c>
      <c r="S172" s="523"/>
      <c r="T172" s="523">
        <v>0.81</v>
      </c>
      <c r="U172" s="523"/>
      <c r="V172" s="523">
        <v>0.68</v>
      </c>
      <c r="W172" s="523"/>
      <c r="X172" s="523"/>
      <c r="Y172" s="523"/>
      <c r="Z172" s="523"/>
      <c r="AA172" s="523">
        <v>1</v>
      </c>
      <c r="AB172" s="523"/>
      <c r="AC172" s="523">
        <v>1</v>
      </c>
      <c r="AD172" s="523">
        <v>1</v>
      </c>
      <c r="AE172" s="523"/>
      <c r="AF172" s="523"/>
      <c r="AG172" s="523">
        <v>0.81</v>
      </c>
      <c r="AH172" s="523">
        <v>0.81</v>
      </c>
      <c r="AI172" s="523"/>
      <c r="AJ172" s="523"/>
      <c r="AK172" s="523">
        <v>0.81</v>
      </c>
      <c r="AL172" s="523">
        <v>0.81</v>
      </c>
      <c r="AM172" s="523"/>
      <c r="AN172" s="523"/>
      <c r="AO172" s="523"/>
      <c r="AP172" s="523"/>
      <c r="AQ172" s="523"/>
    </row>
    <row r="173" spans="1:43" ht="12.75">
      <c r="A173" s="522" t="s">
        <v>558</v>
      </c>
      <c r="B173" s="523"/>
      <c r="C173" s="523"/>
      <c r="D173" s="523"/>
      <c r="E173" s="523"/>
      <c r="F173" s="523"/>
      <c r="G173" s="523"/>
      <c r="H173" s="523"/>
      <c r="I173" s="523"/>
      <c r="J173" s="523"/>
      <c r="K173" s="523"/>
      <c r="L173" s="523"/>
      <c r="M173" s="523"/>
      <c r="N173" s="523"/>
      <c r="O173" s="523"/>
      <c r="P173" s="523"/>
      <c r="Q173" s="523"/>
      <c r="R173" s="523">
        <v>1</v>
      </c>
      <c r="S173" s="523">
        <v>0.81</v>
      </c>
      <c r="T173" s="523"/>
      <c r="U173" s="523">
        <v>0.68</v>
      </c>
      <c r="V173" s="523"/>
      <c r="W173" s="523"/>
      <c r="X173" s="523"/>
      <c r="Y173" s="523"/>
      <c r="Z173" s="523"/>
      <c r="AA173" s="523"/>
      <c r="AB173" s="523"/>
      <c r="AC173" s="523"/>
      <c r="AD173" s="523"/>
      <c r="AE173" s="523"/>
      <c r="AF173" s="523"/>
      <c r="AG173" s="523"/>
      <c r="AH173" s="523"/>
      <c r="AI173" s="523"/>
      <c r="AJ173" s="523"/>
      <c r="AK173" s="523"/>
      <c r="AL173" s="523"/>
      <c r="AM173" s="523"/>
      <c r="AN173" s="523"/>
      <c r="AO173" s="523"/>
      <c r="AP173" s="523"/>
      <c r="AQ173" s="523"/>
    </row>
    <row r="174" spans="1:43" ht="12.75">
      <c r="A174" s="522" t="s">
        <v>118</v>
      </c>
      <c r="B174" s="523">
        <v>0.59</v>
      </c>
      <c r="C174" s="523">
        <v>0.59</v>
      </c>
      <c r="D174" s="523"/>
      <c r="E174" s="523"/>
      <c r="F174" s="523">
        <v>0.59</v>
      </c>
      <c r="G174" s="523">
        <v>0.59</v>
      </c>
      <c r="H174" s="523"/>
      <c r="I174" s="523"/>
      <c r="J174" s="523">
        <v>0.59</v>
      </c>
      <c r="K174" s="523">
        <v>0.48</v>
      </c>
      <c r="L174" s="523"/>
      <c r="M174" s="523"/>
      <c r="N174" s="523"/>
      <c r="O174" s="523"/>
      <c r="P174" s="523"/>
      <c r="Q174" s="523">
        <v>1</v>
      </c>
      <c r="R174" s="523">
        <v>1</v>
      </c>
      <c r="S174" s="523"/>
      <c r="T174" s="523">
        <v>0.81</v>
      </c>
      <c r="U174" s="523"/>
      <c r="V174" s="523">
        <v>0.68</v>
      </c>
      <c r="W174" s="523"/>
      <c r="X174" s="523"/>
      <c r="Y174" s="523"/>
      <c r="Z174" s="523"/>
      <c r="AA174" s="523">
        <v>0.81</v>
      </c>
      <c r="AB174" s="523"/>
      <c r="AC174" s="523">
        <v>1</v>
      </c>
      <c r="AD174" s="523">
        <v>1</v>
      </c>
      <c r="AE174" s="523"/>
      <c r="AF174" s="523"/>
      <c r="AG174" s="523">
        <v>0.81</v>
      </c>
      <c r="AH174" s="523">
        <v>0.81</v>
      </c>
      <c r="AI174" s="523"/>
      <c r="AJ174" s="523"/>
      <c r="AK174" s="523">
        <v>0.81</v>
      </c>
      <c r="AL174" s="523">
        <v>0.81</v>
      </c>
      <c r="AM174" s="523"/>
      <c r="AN174" s="523"/>
      <c r="AO174" s="523"/>
      <c r="AP174" s="523"/>
      <c r="AQ174" s="523"/>
    </row>
    <row r="175" spans="1:43" ht="12.75">
      <c r="A175" s="522" t="s">
        <v>119</v>
      </c>
      <c r="B175" s="523"/>
      <c r="C175" s="523"/>
      <c r="D175" s="523"/>
      <c r="E175" s="523"/>
      <c r="F175" s="523"/>
      <c r="G175" s="523"/>
      <c r="H175" s="523"/>
      <c r="I175" s="523"/>
      <c r="J175" s="523"/>
      <c r="K175" s="523"/>
      <c r="L175" s="523"/>
      <c r="M175" s="523"/>
      <c r="N175" s="523"/>
      <c r="O175" s="523"/>
      <c r="P175" s="523"/>
      <c r="Q175" s="523"/>
      <c r="R175" s="523">
        <v>1</v>
      </c>
      <c r="S175" s="523">
        <v>0.74</v>
      </c>
      <c r="T175" s="523"/>
      <c r="U175" s="523">
        <v>0.68</v>
      </c>
      <c r="V175" s="523"/>
      <c r="W175" s="523"/>
      <c r="X175" s="523"/>
      <c r="Y175" s="523"/>
      <c r="Z175" s="523"/>
      <c r="AA175" s="523"/>
      <c r="AB175" s="523"/>
      <c r="AC175" s="523"/>
      <c r="AD175" s="523"/>
      <c r="AE175" s="523"/>
      <c r="AF175" s="523"/>
      <c r="AG175" s="523"/>
      <c r="AH175" s="523"/>
      <c r="AI175" s="523"/>
      <c r="AJ175" s="523"/>
      <c r="AK175" s="523"/>
      <c r="AL175" s="523"/>
      <c r="AM175" s="523"/>
      <c r="AN175" s="523"/>
      <c r="AO175" s="523"/>
      <c r="AP175" s="523"/>
      <c r="AQ175" s="523"/>
    </row>
    <row r="176" spans="1:43" ht="12.75">
      <c r="A176" s="522" t="s">
        <v>120</v>
      </c>
      <c r="B176" s="523">
        <v>0.59</v>
      </c>
      <c r="C176" s="523">
        <v>0.59</v>
      </c>
      <c r="D176" s="523"/>
      <c r="E176" s="523"/>
      <c r="F176" s="523">
        <v>0.59</v>
      </c>
      <c r="G176" s="523">
        <v>0.59</v>
      </c>
      <c r="H176" s="523"/>
      <c r="I176" s="523"/>
      <c r="J176" s="523">
        <v>0.59</v>
      </c>
      <c r="K176" s="523">
        <v>0.48</v>
      </c>
      <c r="L176" s="523"/>
      <c r="M176" s="523"/>
      <c r="N176" s="523"/>
      <c r="O176" s="523"/>
      <c r="P176" s="523"/>
      <c r="Q176" s="523">
        <v>1</v>
      </c>
      <c r="R176" s="523">
        <v>0.55</v>
      </c>
      <c r="S176" s="523"/>
      <c r="T176" s="523">
        <v>0.74</v>
      </c>
      <c r="U176" s="523"/>
      <c r="V176" s="523">
        <v>0.68</v>
      </c>
      <c r="W176" s="523"/>
      <c r="X176" s="523"/>
      <c r="Y176" s="523"/>
      <c r="Z176" s="523"/>
      <c r="AA176" s="523">
        <v>1</v>
      </c>
      <c r="AB176" s="523"/>
      <c r="AC176" s="523">
        <v>1</v>
      </c>
      <c r="AD176" s="523">
        <v>1</v>
      </c>
      <c r="AE176" s="523"/>
      <c r="AF176" s="523"/>
      <c r="AG176" s="523">
        <v>0.81</v>
      </c>
      <c r="AH176" s="523">
        <v>1</v>
      </c>
      <c r="AI176" s="523"/>
      <c r="AJ176" s="523"/>
      <c r="AK176" s="523">
        <v>0.81</v>
      </c>
      <c r="AL176" s="523">
        <v>0.81</v>
      </c>
      <c r="AM176" s="523"/>
      <c r="AN176" s="523"/>
      <c r="AO176" s="523"/>
      <c r="AP176" s="523"/>
      <c r="AQ176" s="523"/>
    </row>
    <row r="177" spans="1:43" ht="12.75">
      <c r="A177" s="522" t="s">
        <v>121</v>
      </c>
      <c r="B177" s="523"/>
      <c r="C177" s="523"/>
      <c r="D177" s="523"/>
      <c r="E177" s="523"/>
      <c r="F177" s="523"/>
      <c r="G177" s="523"/>
      <c r="H177" s="523"/>
      <c r="I177" s="523"/>
      <c r="J177" s="523"/>
      <c r="K177" s="523"/>
      <c r="L177" s="523"/>
      <c r="M177" s="523"/>
      <c r="N177" s="523"/>
      <c r="O177" s="523"/>
      <c r="P177" s="523"/>
      <c r="Q177" s="523"/>
      <c r="R177" s="523">
        <v>1</v>
      </c>
      <c r="S177" s="523">
        <v>0.81</v>
      </c>
      <c r="T177" s="523"/>
      <c r="U177" s="523">
        <v>1</v>
      </c>
      <c r="V177" s="523"/>
      <c r="W177" s="523"/>
      <c r="X177" s="523"/>
      <c r="Y177" s="523"/>
      <c r="Z177" s="523"/>
      <c r="AA177" s="523"/>
      <c r="AB177" s="523"/>
      <c r="AC177" s="523"/>
      <c r="AD177" s="523"/>
      <c r="AE177" s="523"/>
      <c r="AF177" s="523"/>
      <c r="AG177" s="523"/>
      <c r="AH177" s="523"/>
      <c r="AI177" s="523"/>
      <c r="AJ177" s="523"/>
      <c r="AK177" s="523"/>
      <c r="AL177" s="523"/>
      <c r="AM177" s="523"/>
      <c r="AN177" s="523"/>
      <c r="AO177" s="523"/>
      <c r="AP177" s="523"/>
      <c r="AQ177" s="523"/>
    </row>
    <row r="178" spans="1:43" ht="12.75">
      <c r="A178" s="522" t="s">
        <v>122</v>
      </c>
      <c r="B178" s="523">
        <v>0.59</v>
      </c>
      <c r="C178" s="523">
        <v>0.59</v>
      </c>
      <c r="D178" s="523"/>
      <c r="E178" s="523"/>
      <c r="F178" s="523">
        <v>0.59</v>
      </c>
      <c r="G178" s="523">
        <v>0.59</v>
      </c>
      <c r="H178" s="523"/>
      <c r="I178" s="523"/>
      <c r="J178" s="523">
        <v>0.59</v>
      </c>
      <c r="K178" s="523">
        <v>0.48</v>
      </c>
      <c r="L178" s="523"/>
      <c r="M178" s="523"/>
      <c r="N178" s="523"/>
      <c r="O178" s="523"/>
      <c r="P178" s="523"/>
      <c r="Q178" s="523">
        <v>1</v>
      </c>
      <c r="R178" s="523">
        <v>1</v>
      </c>
      <c r="S178" s="523"/>
      <c r="T178" s="523">
        <v>0.81</v>
      </c>
      <c r="U178" s="523"/>
      <c r="V178" s="523">
        <v>0.68</v>
      </c>
      <c r="W178" s="523"/>
      <c r="X178" s="523"/>
      <c r="Y178" s="523"/>
      <c r="Z178" s="523"/>
      <c r="AA178" s="523">
        <v>0.81</v>
      </c>
      <c r="AB178" s="523"/>
      <c r="AC178" s="523">
        <v>1</v>
      </c>
      <c r="AD178" s="523">
        <v>1</v>
      </c>
      <c r="AE178" s="523"/>
      <c r="AF178" s="523"/>
      <c r="AG178" s="523">
        <v>0.81</v>
      </c>
      <c r="AH178" s="523">
        <v>0.81</v>
      </c>
      <c r="AI178" s="523"/>
      <c r="AJ178" s="523"/>
      <c r="AK178" s="523">
        <v>1</v>
      </c>
      <c r="AL178" s="523">
        <v>1</v>
      </c>
      <c r="AM178" s="523"/>
      <c r="AN178" s="523"/>
      <c r="AO178" s="523"/>
      <c r="AP178" s="523"/>
      <c r="AQ178" s="523"/>
    </row>
    <row r="179" spans="1:43" ht="12.75">
      <c r="A179" s="522" t="s">
        <v>123</v>
      </c>
      <c r="B179" s="523"/>
      <c r="C179" s="523"/>
      <c r="D179" s="523"/>
      <c r="E179" s="523"/>
      <c r="F179" s="523"/>
      <c r="G179" s="523"/>
      <c r="H179" s="523"/>
      <c r="I179" s="523"/>
      <c r="J179" s="523"/>
      <c r="K179" s="523"/>
      <c r="L179" s="523"/>
      <c r="M179" s="523"/>
      <c r="N179" s="523"/>
      <c r="O179" s="523"/>
      <c r="P179" s="523"/>
      <c r="Q179" s="523"/>
      <c r="R179" s="523">
        <v>1</v>
      </c>
      <c r="S179" s="523">
        <v>0.81</v>
      </c>
      <c r="T179" s="523"/>
      <c r="U179" s="523">
        <v>0.68</v>
      </c>
      <c r="V179" s="523"/>
      <c r="W179" s="523"/>
      <c r="X179" s="523"/>
      <c r="Y179" s="523"/>
      <c r="Z179" s="523"/>
      <c r="AA179" s="523"/>
      <c r="AB179" s="523"/>
      <c r="AC179" s="523"/>
      <c r="AD179" s="523"/>
      <c r="AE179" s="523"/>
      <c r="AF179" s="523"/>
      <c r="AG179" s="523"/>
      <c r="AH179" s="523"/>
      <c r="AI179" s="523"/>
      <c r="AJ179" s="523"/>
      <c r="AK179" s="523"/>
      <c r="AL179" s="523"/>
      <c r="AM179" s="523"/>
      <c r="AN179" s="523"/>
      <c r="AO179" s="523"/>
      <c r="AP179" s="523"/>
      <c r="AQ179" s="549"/>
    </row>
    <row r="180" spans="1:43" ht="12.75">
      <c r="A180" s="522" t="s">
        <v>124</v>
      </c>
      <c r="B180" s="523">
        <v>0.59</v>
      </c>
      <c r="C180" s="523">
        <v>0.59</v>
      </c>
      <c r="D180" s="523"/>
      <c r="E180" s="523"/>
      <c r="F180" s="523">
        <v>0.59</v>
      </c>
      <c r="G180" s="523">
        <v>0.59</v>
      </c>
      <c r="H180" s="523"/>
      <c r="I180" s="523"/>
      <c r="J180" s="523">
        <v>0.59</v>
      </c>
      <c r="K180" s="523">
        <v>0.48</v>
      </c>
      <c r="L180" s="523"/>
      <c r="M180" s="523"/>
      <c r="N180" s="523"/>
      <c r="O180" s="523"/>
      <c r="P180" s="523"/>
      <c r="Q180" s="523">
        <v>1</v>
      </c>
      <c r="R180" s="523">
        <v>1</v>
      </c>
      <c r="S180" s="523"/>
      <c r="T180" s="523">
        <v>0.81</v>
      </c>
      <c r="U180" s="523"/>
      <c r="V180" s="523">
        <v>0.68</v>
      </c>
      <c r="W180" s="523"/>
      <c r="X180" s="523"/>
      <c r="Y180" s="523"/>
      <c r="Z180" s="523"/>
      <c r="AA180" s="523">
        <v>1</v>
      </c>
      <c r="AB180" s="523"/>
      <c r="AC180" s="523">
        <v>0.81</v>
      </c>
      <c r="AD180" s="523">
        <v>0.81</v>
      </c>
      <c r="AE180" s="523"/>
      <c r="AF180" s="523"/>
      <c r="AG180" s="523">
        <v>0.81</v>
      </c>
      <c r="AH180" s="523">
        <v>0.81</v>
      </c>
      <c r="AI180" s="523"/>
      <c r="AJ180" s="523"/>
      <c r="AK180" s="523">
        <v>0.81</v>
      </c>
      <c r="AL180" s="523">
        <v>0.81</v>
      </c>
      <c r="AM180" s="523"/>
      <c r="AN180" s="523"/>
      <c r="AO180" s="523"/>
      <c r="AP180" s="523"/>
      <c r="AQ180" s="549"/>
    </row>
    <row r="181" spans="1:43" ht="12.75">
      <c r="A181" s="522" t="s">
        <v>125</v>
      </c>
      <c r="B181" s="523"/>
      <c r="C181" s="523"/>
      <c r="D181" s="523"/>
      <c r="E181" s="523"/>
      <c r="F181" s="523"/>
      <c r="G181" s="523"/>
      <c r="H181" s="523"/>
      <c r="I181" s="523"/>
      <c r="J181" s="523"/>
      <c r="K181" s="523"/>
      <c r="L181" s="523"/>
      <c r="M181" s="523"/>
      <c r="N181" s="523"/>
      <c r="O181" s="523"/>
      <c r="P181" s="523"/>
      <c r="Q181" s="523"/>
      <c r="R181" s="523">
        <v>0.55</v>
      </c>
      <c r="S181" s="523">
        <v>0.81</v>
      </c>
      <c r="T181" s="523"/>
      <c r="U181" s="523">
        <v>0.68</v>
      </c>
      <c r="V181" s="523"/>
      <c r="W181" s="523"/>
      <c r="X181" s="523"/>
      <c r="Y181" s="523"/>
      <c r="Z181" s="523"/>
      <c r="AA181" s="523"/>
      <c r="AB181" s="523"/>
      <c r="AC181" s="523"/>
      <c r="AD181" s="523"/>
      <c r="AE181" s="523"/>
      <c r="AF181" s="523"/>
      <c r="AG181" s="523"/>
      <c r="AH181" s="523"/>
      <c r="AI181" s="523"/>
      <c r="AJ181" s="523"/>
      <c r="AK181" s="523"/>
      <c r="AL181" s="523"/>
      <c r="AM181" s="523"/>
      <c r="AN181" s="523"/>
      <c r="AO181" s="523"/>
      <c r="AP181" s="523"/>
      <c r="AQ181" s="549"/>
    </row>
    <row r="182" spans="1:43" ht="12.75">
      <c r="A182" s="522" t="s">
        <v>126</v>
      </c>
      <c r="B182" s="523">
        <v>0.59</v>
      </c>
      <c r="C182" s="523">
        <v>0.59</v>
      </c>
      <c r="D182" s="523"/>
      <c r="E182" s="523"/>
      <c r="F182" s="523">
        <v>0.59</v>
      </c>
      <c r="G182" s="523">
        <v>0.59</v>
      </c>
      <c r="H182" s="523"/>
      <c r="I182" s="523"/>
      <c r="J182" s="523">
        <v>0.59</v>
      </c>
      <c r="K182" s="523">
        <v>0.48</v>
      </c>
      <c r="L182" s="523"/>
      <c r="M182" s="523"/>
      <c r="N182" s="523"/>
      <c r="O182" s="523"/>
      <c r="P182" s="523"/>
      <c r="Q182" s="523">
        <v>1</v>
      </c>
      <c r="R182" s="523">
        <v>1</v>
      </c>
      <c r="S182" s="523"/>
      <c r="T182" s="523">
        <v>0.81</v>
      </c>
      <c r="U182" s="523"/>
      <c r="V182" s="523">
        <v>1</v>
      </c>
      <c r="W182" s="523"/>
      <c r="X182" s="523"/>
      <c r="Y182" s="523"/>
      <c r="Z182" s="523"/>
      <c r="AA182" s="523">
        <v>0.81</v>
      </c>
      <c r="AB182" s="523"/>
      <c r="AC182" s="523">
        <v>0.81</v>
      </c>
      <c r="AD182" s="523">
        <v>0.81</v>
      </c>
      <c r="AE182" s="523"/>
      <c r="AF182" s="523"/>
      <c r="AG182" s="523">
        <v>0.81</v>
      </c>
      <c r="AH182" s="523">
        <v>0.81</v>
      </c>
      <c r="AI182" s="523"/>
      <c r="AJ182" s="523"/>
      <c r="AK182" s="523">
        <v>0.81</v>
      </c>
      <c r="AL182" s="523">
        <v>0.81</v>
      </c>
      <c r="AM182" s="523"/>
      <c r="AN182" s="523"/>
      <c r="AO182" s="523"/>
      <c r="AP182" s="523"/>
      <c r="AQ182" s="549"/>
    </row>
    <row r="183" spans="1:43" ht="12.75">
      <c r="A183" s="522" t="s">
        <v>127</v>
      </c>
      <c r="B183" s="523"/>
      <c r="C183" s="523"/>
      <c r="D183" s="523"/>
      <c r="E183" s="523"/>
      <c r="F183" s="523"/>
      <c r="G183" s="523"/>
      <c r="H183" s="523"/>
      <c r="I183" s="523"/>
      <c r="J183" s="523"/>
      <c r="K183" s="523"/>
      <c r="L183" s="523"/>
      <c r="M183" s="523"/>
      <c r="N183" s="523"/>
      <c r="O183" s="523"/>
      <c r="P183" s="523"/>
      <c r="Q183" s="523"/>
      <c r="R183" s="523">
        <v>1</v>
      </c>
      <c r="S183" s="523">
        <v>0.81</v>
      </c>
      <c r="T183" s="523"/>
      <c r="U183" s="523">
        <v>1</v>
      </c>
      <c r="V183" s="523"/>
      <c r="W183" s="523"/>
      <c r="X183" s="523"/>
      <c r="Y183" s="523"/>
      <c r="Z183" s="523"/>
      <c r="AA183" s="523"/>
      <c r="AB183" s="523"/>
      <c r="AC183" s="523"/>
      <c r="AD183" s="523"/>
      <c r="AE183" s="523"/>
      <c r="AF183" s="523"/>
      <c r="AG183" s="523"/>
      <c r="AH183" s="523"/>
      <c r="AI183" s="523"/>
      <c r="AJ183" s="523"/>
      <c r="AK183" s="523"/>
      <c r="AL183" s="523"/>
      <c r="AM183" s="523"/>
      <c r="AN183" s="523"/>
      <c r="AO183" s="523"/>
      <c r="AP183" s="523"/>
      <c r="AQ183" s="549"/>
    </row>
    <row r="184" spans="1:43" ht="12.75">
      <c r="A184" s="522" t="s">
        <v>128</v>
      </c>
      <c r="B184" s="523">
        <v>0.59</v>
      </c>
      <c r="C184" s="523">
        <v>0.59</v>
      </c>
      <c r="D184" s="523"/>
      <c r="E184" s="523"/>
      <c r="F184" s="523">
        <v>0.59</v>
      </c>
      <c r="G184" s="523">
        <v>0.59</v>
      </c>
      <c r="H184" s="523"/>
      <c r="I184" s="523"/>
      <c r="J184" s="523">
        <v>0.59</v>
      </c>
      <c r="K184" s="523">
        <v>0.59</v>
      </c>
      <c r="L184" s="523"/>
      <c r="M184" s="523"/>
      <c r="N184" s="523"/>
      <c r="O184" s="523"/>
      <c r="P184" s="523"/>
      <c r="Q184" s="523">
        <v>1</v>
      </c>
      <c r="R184" s="523">
        <v>1</v>
      </c>
      <c r="S184" s="523"/>
      <c r="T184" s="523">
        <v>0.81</v>
      </c>
      <c r="U184" s="523"/>
      <c r="V184" s="523">
        <v>1</v>
      </c>
      <c r="W184" s="523"/>
      <c r="X184" s="523"/>
      <c r="Y184" s="523"/>
      <c r="Z184" s="523"/>
      <c r="AA184" s="523">
        <v>1</v>
      </c>
      <c r="AB184" s="523"/>
      <c r="AC184" s="523">
        <v>1</v>
      </c>
      <c r="AD184" s="523">
        <v>1</v>
      </c>
      <c r="AE184" s="523"/>
      <c r="AF184" s="523"/>
      <c r="AG184" s="523">
        <v>0.81</v>
      </c>
      <c r="AH184" s="523">
        <v>1</v>
      </c>
      <c r="AI184" s="523"/>
      <c r="AJ184" s="523"/>
      <c r="AK184" s="523">
        <v>1</v>
      </c>
      <c r="AL184" s="523">
        <v>1</v>
      </c>
      <c r="AM184" s="523"/>
      <c r="AN184" s="523"/>
      <c r="AO184" s="523"/>
      <c r="AP184" s="523"/>
      <c r="AQ184" s="549"/>
    </row>
    <row r="185" spans="1:43" s="536" customFormat="1" ht="12.75">
      <c r="A185" s="539" t="s">
        <v>543</v>
      </c>
      <c r="B185" s="548"/>
      <c r="C185" s="548"/>
      <c r="D185" s="548"/>
      <c r="E185" s="548"/>
      <c r="F185" s="548"/>
      <c r="G185" s="548"/>
      <c r="H185" s="548"/>
      <c r="I185" s="548"/>
      <c r="J185" s="548"/>
      <c r="K185" s="548"/>
      <c r="L185" s="548"/>
      <c r="M185" s="548"/>
      <c r="N185" s="548"/>
      <c r="O185" s="548"/>
      <c r="P185" s="548"/>
      <c r="Q185" s="548"/>
      <c r="R185" s="548">
        <v>0.87</v>
      </c>
      <c r="S185" s="548">
        <v>1</v>
      </c>
      <c r="T185" s="548"/>
      <c r="U185" s="548">
        <v>0.21</v>
      </c>
      <c r="V185" s="548"/>
      <c r="W185" s="548"/>
      <c r="X185" s="548"/>
      <c r="Y185" s="548"/>
      <c r="Z185" s="548"/>
      <c r="AA185" s="548"/>
      <c r="AB185" s="548"/>
      <c r="AC185" s="548"/>
      <c r="AD185" s="548"/>
      <c r="AE185" s="548"/>
      <c r="AF185" s="548"/>
      <c r="AG185" s="548"/>
      <c r="AH185" s="548"/>
      <c r="AI185" s="548"/>
      <c r="AJ185" s="548"/>
      <c r="AK185" s="548"/>
      <c r="AL185" s="548"/>
      <c r="AM185" s="548"/>
      <c r="AN185" s="548"/>
      <c r="AO185" s="548"/>
      <c r="AP185" s="548"/>
      <c r="AQ185" s="548"/>
    </row>
    <row r="186" spans="1:43" ht="12.75">
      <c r="A186" s="522" t="s">
        <v>544</v>
      </c>
      <c r="B186" s="523">
        <v>0.88</v>
      </c>
      <c r="C186" s="523">
        <v>0.88</v>
      </c>
      <c r="D186" s="523"/>
      <c r="E186" s="523"/>
      <c r="F186" s="523">
        <v>0.88</v>
      </c>
      <c r="G186" s="523">
        <v>0.88</v>
      </c>
      <c r="H186" s="523"/>
      <c r="I186" s="523"/>
      <c r="J186" s="523">
        <v>0.88</v>
      </c>
      <c r="K186" s="523">
        <v>0.88</v>
      </c>
      <c r="L186" s="523"/>
      <c r="M186" s="523"/>
      <c r="N186" s="523"/>
      <c r="O186" s="523"/>
      <c r="P186" s="523"/>
      <c r="Q186" s="523">
        <v>1</v>
      </c>
      <c r="R186" s="523">
        <v>0.87</v>
      </c>
      <c r="S186" s="523"/>
      <c r="T186" s="523">
        <v>1</v>
      </c>
      <c r="U186" s="523"/>
      <c r="V186" s="523">
        <v>0.68</v>
      </c>
      <c r="W186" s="523"/>
      <c r="X186" s="523"/>
      <c r="Y186" s="523"/>
      <c r="Z186" s="523"/>
      <c r="AA186" s="523">
        <v>1</v>
      </c>
      <c r="AB186" s="523"/>
      <c r="AC186" s="523">
        <v>0.89</v>
      </c>
      <c r="AD186" s="523">
        <v>0.89</v>
      </c>
      <c r="AE186" s="523"/>
      <c r="AF186" s="523"/>
      <c r="AG186" s="523">
        <v>0.89</v>
      </c>
      <c r="AH186" s="523">
        <v>0.89</v>
      </c>
      <c r="AI186" s="523"/>
      <c r="AJ186" s="523"/>
      <c r="AK186" s="523">
        <v>0.89</v>
      </c>
      <c r="AL186" s="523">
        <v>0.89</v>
      </c>
      <c r="AM186" s="523"/>
      <c r="AN186" s="523"/>
      <c r="AO186" s="523"/>
      <c r="AP186" s="523"/>
      <c r="AQ186" s="523"/>
    </row>
    <row r="187" spans="1:43" ht="12.75">
      <c r="A187" s="522" t="s">
        <v>545</v>
      </c>
      <c r="B187" s="523"/>
      <c r="C187" s="523"/>
      <c r="D187" s="523"/>
      <c r="E187" s="523"/>
      <c r="F187" s="523"/>
      <c r="G187" s="523"/>
      <c r="H187" s="523"/>
      <c r="I187" s="523"/>
      <c r="J187" s="523"/>
      <c r="K187" s="523"/>
      <c r="L187" s="523"/>
      <c r="M187" s="523"/>
      <c r="N187" s="523"/>
      <c r="O187" s="523"/>
      <c r="P187" s="523"/>
      <c r="Q187" s="523"/>
      <c r="R187" s="523">
        <v>0.87</v>
      </c>
      <c r="S187" s="523">
        <v>1</v>
      </c>
      <c r="T187" s="523"/>
      <c r="U187" s="523">
        <v>1</v>
      </c>
      <c r="V187" s="523"/>
      <c r="W187" s="523"/>
      <c r="X187" s="523"/>
      <c r="Y187" s="523"/>
      <c r="Z187" s="523"/>
      <c r="AA187" s="523"/>
      <c r="AB187" s="523"/>
      <c r="AC187" s="523"/>
      <c r="AD187" s="523"/>
      <c r="AE187" s="523"/>
      <c r="AF187" s="523"/>
      <c r="AG187" s="523"/>
      <c r="AH187" s="523"/>
      <c r="AI187" s="523"/>
      <c r="AJ187" s="523"/>
      <c r="AK187" s="523"/>
      <c r="AL187" s="523"/>
      <c r="AM187" s="523"/>
      <c r="AN187" s="523"/>
      <c r="AO187" s="523"/>
      <c r="AP187" s="523"/>
      <c r="AQ187" s="523"/>
    </row>
    <row r="188" spans="1:43" ht="12.75">
      <c r="A188" s="522" t="s">
        <v>546</v>
      </c>
      <c r="B188" s="523">
        <v>0.88</v>
      </c>
      <c r="C188" s="523">
        <v>0.88</v>
      </c>
      <c r="D188" s="523"/>
      <c r="E188" s="523"/>
      <c r="F188" s="523">
        <v>0.88</v>
      </c>
      <c r="G188" s="523">
        <v>0.88</v>
      </c>
      <c r="H188" s="523"/>
      <c r="I188" s="523"/>
      <c r="J188" s="523">
        <v>0.88</v>
      </c>
      <c r="K188" s="523">
        <v>0.88</v>
      </c>
      <c r="L188" s="523"/>
      <c r="M188" s="523"/>
      <c r="N188" s="523"/>
      <c r="O188" s="523"/>
      <c r="P188" s="523"/>
      <c r="Q188" s="523">
        <v>1</v>
      </c>
      <c r="R188" s="523">
        <v>1</v>
      </c>
      <c r="S188" s="523"/>
      <c r="T188" s="523">
        <v>1</v>
      </c>
      <c r="U188" s="523"/>
      <c r="V188" s="523">
        <v>0.68</v>
      </c>
      <c r="W188" s="523"/>
      <c r="X188" s="523"/>
      <c r="Y188" s="523"/>
      <c r="Z188" s="523"/>
      <c r="AA188" s="523">
        <v>0.6</v>
      </c>
      <c r="AB188" s="523"/>
      <c r="AC188" s="523">
        <v>0.67</v>
      </c>
      <c r="AD188" s="523">
        <v>0.67</v>
      </c>
      <c r="AE188" s="523"/>
      <c r="AF188" s="523"/>
      <c r="AG188" s="523">
        <v>0.67</v>
      </c>
      <c r="AH188" s="523">
        <v>0.67</v>
      </c>
      <c r="AI188" s="523"/>
      <c r="AJ188" s="523"/>
      <c r="AK188" s="523">
        <v>0.67</v>
      </c>
      <c r="AL188" s="523">
        <v>0.89</v>
      </c>
      <c r="AM188" s="523"/>
      <c r="AN188" s="523"/>
      <c r="AO188" s="523"/>
      <c r="AP188" s="523"/>
      <c r="AQ188" s="523"/>
    </row>
    <row r="189" spans="1:43" ht="12.75">
      <c r="A189" s="522" t="s">
        <v>547</v>
      </c>
      <c r="B189" s="523"/>
      <c r="C189" s="523"/>
      <c r="D189" s="523"/>
      <c r="E189" s="523"/>
      <c r="F189" s="523"/>
      <c r="G189" s="523"/>
      <c r="H189" s="523"/>
      <c r="I189" s="523"/>
      <c r="J189" s="523"/>
      <c r="K189" s="523"/>
      <c r="L189" s="523"/>
      <c r="M189" s="523"/>
      <c r="N189" s="523"/>
      <c r="O189" s="523"/>
      <c r="P189" s="523"/>
      <c r="Q189" s="523"/>
      <c r="R189" s="523">
        <v>1</v>
      </c>
      <c r="S189" s="523">
        <v>1</v>
      </c>
      <c r="T189" s="523"/>
      <c r="U189" s="523">
        <v>1</v>
      </c>
      <c r="V189" s="523"/>
      <c r="W189" s="523"/>
      <c r="X189" s="523"/>
      <c r="Y189" s="523"/>
      <c r="Z189" s="523"/>
      <c r="AA189" s="523"/>
      <c r="AB189" s="523"/>
      <c r="AC189" s="523"/>
      <c r="AD189" s="523"/>
      <c r="AE189" s="523"/>
      <c r="AF189" s="523"/>
      <c r="AG189" s="523"/>
      <c r="AH189" s="523"/>
      <c r="AI189" s="523"/>
      <c r="AJ189" s="523"/>
      <c r="AK189" s="523"/>
      <c r="AL189" s="523"/>
      <c r="AM189" s="523"/>
      <c r="AN189" s="523"/>
      <c r="AO189" s="523"/>
      <c r="AP189" s="523"/>
      <c r="AQ189" s="523"/>
    </row>
    <row r="190" spans="1:43" ht="12.75">
      <c r="A190" s="522" t="s">
        <v>548</v>
      </c>
      <c r="B190" s="523">
        <v>0.88</v>
      </c>
      <c r="C190" s="523">
        <v>0.88</v>
      </c>
      <c r="D190" s="523"/>
      <c r="E190" s="523"/>
      <c r="F190" s="523">
        <v>0.88</v>
      </c>
      <c r="G190" s="523">
        <v>0.88</v>
      </c>
      <c r="H190" s="523"/>
      <c r="I190" s="523"/>
      <c r="J190" s="523">
        <v>0.88</v>
      </c>
      <c r="K190" s="523">
        <v>0.88</v>
      </c>
      <c r="L190" s="523"/>
      <c r="M190" s="523"/>
      <c r="N190" s="523"/>
      <c r="O190" s="523"/>
      <c r="P190" s="523"/>
      <c r="Q190" s="523">
        <v>1</v>
      </c>
      <c r="R190" s="523">
        <v>1</v>
      </c>
      <c r="S190" s="523"/>
      <c r="T190" s="523">
        <v>1</v>
      </c>
      <c r="U190" s="523"/>
      <c r="V190" s="523">
        <v>0.68</v>
      </c>
      <c r="W190" s="523"/>
      <c r="X190" s="523"/>
      <c r="Y190" s="523"/>
      <c r="Z190" s="523"/>
      <c r="AA190" s="523">
        <v>1</v>
      </c>
      <c r="AB190" s="523"/>
      <c r="AC190" s="523">
        <v>0.67</v>
      </c>
      <c r="AD190" s="523">
        <v>0.67</v>
      </c>
      <c r="AE190" s="523"/>
      <c r="AF190" s="523"/>
      <c r="AG190" s="523">
        <v>0.89</v>
      </c>
      <c r="AH190" s="523">
        <v>0.89</v>
      </c>
      <c r="AI190" s="523"/>
      <c r="AJ190" s="523"/>
      <c r="AK190" s="523">
        <v>0.89</v>
      </c>
      <c r="AL190" s="523">
        <v>0.89</v>
      </c>
      <c r="AM190" s="523"/>
      <c r="AN190" s="523"/>
      <c r="AO190" s="523"/>
      <c r="AP190" s="523"/>
      <c r="AQ190" s="523"/>
    </row>
    <row r="191" spans="1:43" ht="12.75">
      <c r="A191" s="522" t="s">
        <v>549</v>
      </c>
      <c r="B191" s="523"/>
      <c r="C191" s="523"/>
      <c r="D191" s="523"/>
      <c r="E191" s="523"/>
      <c r="F191" s="523"/>
      <c r="G191" s="523"/>
      <c r="H191" s="523"/>
      <c r="I191" s="523"/>
      <c r="J191" s="523"/>
      <c r="K191" s="523"/>
      <c r="L191" s="523"/>
      <c r="M191" s="523"/>
      <c r="N191" s="523"/>
      <c r="O191" s="523"/>
      <c r="P191" s="523"/>
      <c r="Q191" s="523"/>
      <c r="R191" s="523">
        <v>0.87</v>
      </c>
      <c r="S191" s="523">
        <v>1</v>
      </c>
      <c r="T191" s="523"/>
      <c r="U191" s="523">
        <v>0.21</v>
      </c>
      <c r="V191" s="523"/>
      <c r="W191" s="523"/>
      <c r="X191" s="523"/>
      <c r="Y191" s="523"/>
      <c r="Z191" s="523"/>
      <c r="AA191" s="523"/>
      <c r="AB191" s="523"/>
      <c r="AC191" s="523"/>
      <c r="AD191" s="523"/>
      <c r="AE191" s="523"/>
      <c r="AF191" s="523"/>
      <c r="AG191" s="523"/>
      <c r="AH191" s="523"/>
      <c r="AI191" s="523"/>
      <c r="AJ191" s="523"/>
      <c r="AK191" s="523"/>
      <c r="AL191" s="523"/>
      <c r="AM191" s="523"/>
      <c r="AN191" s="523"/>
      <c r="AO191" s="523"/>
      <c r="AP191" s="523"/>
      <c r="AQ191" s="523"/>
    </row>
    <row r="192" spans="1:43" ht="12.75">
      <c r="A192" s="522" t="s">
        <v>136</v>
      </c>
      <c r="B192" s="523">
        <v>0.88</v>
      </c>
      <c r="C192" s="523">
        <v>0.88</v>
      </c>
      <c r="D192" s="523"/>
      <c r="E192" s="523"/>
      <c r="F192" s="523">
        <v>0.88</v>
      </c>
      <c r="G192" s="523">
        <v>0.88</v>
      </c>
      <c r="H192" s="523"/>
      <c r="I192" s="523"/>
      <c r="J192" s="523">
        <v>0.88</v>
      </c>
      <c r="K192" s="523">
        <v>0.88</v>
      </c>
      <c r="L192" s="523"/>
      <c r="M192" s="523"/>
      <c r="N192" s="523"/>
      <c r="O192" s="523"/>
      <c r="P192" s="523"/>
      <c r="Q192" s="523">
        <v>1</v>
      </c>
      <c r="R192" s="523">
        <v>1</v>
      </c>
      <c r="S192" s="523"/>
      <c r="T192" s="523">
        <v>1</v>
      </c>
      <c r="U192" s="523"/>
      <c r="V192" s="523">
        <v>0.68</v>
      </c>
      <c r="W192" s="523"/>
      <c r="X192" s="523"/>
      <c r="Y192" s="523"/>
      <c r="Z192" s="523"/>
      <c r="AA192" s="523">
        <v>1</v>
      </c>
      <c r="AB192" s="523"/>
      <c r="AC192" s="523">
        <v>0.89</v>
      </c>
      <c r="AD192" s="523">
        <v>0.89</v>
      </c>
      <c r="AE192" s="523"/>
      <c r="AF192" s="523"/>
      <c r="AG192" s="523">
        <v>0.89</v>
      </c>
      <c r="AH192" s="523">
        <v>0.67</v>
      </c>
      <c r="AI192" s="523"/>
      <c r="AJ192" s="523"/>
      <c r="AK192" s="523">
        <v>0.89</v>
      </c>
      <c r="AL192" s="523">
        <v>0.89</v>
      </c>
      <c r="AM192" s="523"/>
      <c r="AN192" s="523"/>
      <c r="AO192" s="523"/>
      <c r="AP192" s="523"/>
      <c r="AQ192" s="523"/>
    </row>
    <row r="193" spans="1:43" ht="12.75">
      <c r="A193" s="522" t="s">
        <v>137</v>
      </c>
      <c r="B193" s="523"/>
      <c r="C193" s="523"/>
      <c r="D193" s="523"/>
      <c r="E193" s="523"/>
      <c r="F193" s="523"/>
      <c r="G193" s="523"/>
      <c r="H193" s="523"/>
      <c r="I193" s="523"/>
      <c r="J193" s="523"/>
      <c r="K193" s="523"/>
      <c r="L193" s="523"/>
      <c r="M193" s="523"/>
      <c r="N193" s="523"/>
      <c r="O193" s="523"/>
      <c r="P193" s="523"/>
      <c r="Q193" s="523"/>
      <c r="R193" s="523">
        <v>1</v>
      </c>
      <c r="S193" s="523">
        <v>1</v>
      </c>
      <c r="T193" s="523"/>
      <c r="U193" s="523">
        <v>0.21</v>
      </c>
      <c r="V193" s="523"/>
      <c r="W193" s="523"/>
      <c r="X193" s="523"/>
      <c r="Y193" s="523"/>
      <c r="Z193" s="523"/>
      <c r="AA193" s="523"/>
      <c r="AB193" s="523"/>
      <c r="AC193" s="523"/>
      <c r="AD193" s="523"/>
      <c r="AE193" s="523"/>
      <c r="AF193" s="523"/>
      <c r="AG193" s="523"/>
      <c r="AH193" s="523"/>
      <c r="AI193" s="523"/>
      <c r="AJ193" s="523"/>
      <c r="AK193" s="523"/>
      <c r="AL193" s="523"/>
      <c r="AM193" s="523"/>
      <c r="AN193" s="523"/>
      <c r="AO193" s="523"/>
      <c r="AP193" s="523"/>
      <c r="AQ193" s="523"/>
    </row>
    <row r="194" spans="1:43" ht="12.75">
      <c r="A194" s="522" t="s">
        <v>138</v>
      </c>
      <c r="B194" s="523">
        <v>0.88</v>
      </c>
      <c r="C194" s="523">
        <v>0.88</v>
      </c>
      <c r="D194" s="523"/>
      <c r="E194" s="523"/>
      <c r="F194" s="523">
        <v>0.88</v>
      </c>
      <c r="G194" s="523">
        <v>0.88</v>
      </c>
      <c r="H194" s="523"/>
      <c r="I194" s="523"/>
      <c r="J194" s="523">
        <v>0.88</v>
      </c>
      <c r="K194" s="523">
        <v>0.88</v>
      </c>
      <c r="L194" s="523"/>
      <c r="M194" s="523"/>
      <c r="N194" s="523"/>
      <c r="O194" s="523"/>
      <c r="P194" s="523"/>
      <c r="Q194" s="523">
        <v>1</v>
      </c>
      <c r="R194" s="523">
        <v>1</v>
      </c>
      <c r="S194" s="523"/>
      <c r="T194" s="523">
        <v>1</v>
      </c>
      <c r="U194" s="523"/>
      <c r="V194" s="523">
        <v>0.68</v>
      </c>
      <c r="W194" s="523"/>
      <c r="X194" s="523"/>
      <c r="Y194" s="523"/>
      <c r="Z194" s="523"/>
      <c r="AA194" s="523">
        <v>1</v>
      </c>
      <c r="AB194" s="523"/>
      <c r="AC194" s="523">
        <v>0.89</v>
      </c>
      <c r="AD194" s="523">
        <v>0.89</v>
      </c>
      <c r="AE194" s="523"/>
      <c r="AF194" s="523"/>
      <c r="AG194" s="523">
        <v>0.89</v>
      </c>
      <c r="AH194" s="523">
        <v>0.89</v>
      </c>
      <c r="AI194" s="523"/>
      <c r="AJ194" s="523"/>
      <c r="AK194" s="523">
        <v>0.89</v>
      </c>
      <c r="AL194" s="523">
        <v>0.67</v>
      </c>
      <c r="AM194" s="523"/>
      <c r="AN194" s="523"/>
      <c r="AO194" s="523"/>
      <c r="AP194" s="523"/>
      <c r="AQ194" s="523"/>
    </row>
    <row r="195" spans="1:43" ht="12.75">
      <c r="A195" s="522" t="s">
        <v>139</v>
      </c>
      <c r="B195" s="523"/>
      <c r="C195" s="523"/>
      <c r="D195" s="523"/>
      <c r="E195" s="523"/>
      <c r="F195" s="523"/>
      <c r="G195" s="523"/>
      <c r="H195" s="523"/>
      <c r="I195" s="523"/>
      <c r="J195" s="523"/>
      <c r="K195" s="523"/>
      <c r="L195" s="523"/>
      <c r="M195" s="523"/>
      <c r="N195" s="523"/>
      <c r="O195" s="523"/>
      <c r="P195" s="523"/>
      <c r="Q195" s="523"/>
      <c r="R195" s="523">
        <v>1</v>
      </c>
      <c r="S195" s="523">
        <v>1</v>
      </c>
      <c r="T195" s="523"/>
      <c r="U195" s="523">
        <v>1</v>
      </c>
      <c r="V195" s="523"/>
      <c r="W195" s="523"/>
      <c r="X195" s="523"/>
      <c r="Y195" s="523"/>
      <c r="Z195" s="523"/>
      <c r="AA195" s="523"/>
      <c r="AB195" s="523"/>
      <c r="AC195" s="523"/>
      <c r="AD195" s="523"/>
      <c r="AE195" s="523"/>
      <c r="AF195" s="523"/>
      <c r="AG195" s="523"/>
      <c r="AH195" s="523"/>
      <c r="AI195" s="523"/>
      <c r="AJ195" s="523"/>
      <c r="AK195" s="523"/>
      <c r="AL195" s="523"/>
      <c r="AM195" s="523"/>
      <c r="AN195" s="523"/>
      <c r="AO195" s="523"/>
      <c r="AP195" s="523"/>
      <c r="AQ195" s="523"/>
    </row>
    <row r="196" spans="1:43" ht="12.75">
      <c r="A196" s="522" t="s">
        <v>140</v>
      </c>
      <c r="B196" s="523">
        <v>0.88</v>
      </c>
      <c r="C196" s="523">
        <v>0.88</v>
      </c>
      <c r="D196" s="523"/>
      <c r="E196" s="523"/>
      <c r="F196" s="523">
        <v>0.88</v>
      </c>
      <c r="G196" s="523">
        <v>0.88</v>
      </c>
      <c r="H196" s="523"/>
      <c r="I196" s="523"/>
      <c r="J196" s="523">
        <v>0.88</v>
      </c>
      <c r="K196" s="523">
        <v>0.88</v>
      </c>
      <c r="L196" s="523"/>
      <c r="M196" s="523"/>
      <c r="N196" s="523"/>
      <c r="O196" s="523"/>
      <c r="P196" s="523"/>
      <c r="Q196" s="523">
        <v>1</v>
      </c>
      <c r="R196" s="523">
        <v>1</v>
      </c>
      <c r="S196" s="523"/>
      <c r="T196" s="523">
        <v>1</v>
      </c>
      <c r="U196" s="523"/>
      <c r="V196" s="523">
        <v>0.68</v>
      </c>
      <c r="W196" s="523"/>
      <c r="X196" s="523"/>
      <c r="Y196" s="523"/>
      <c r="Z196" s="523"/>
      <c r="AA196" s="523">
        <v>0.6</v>
      </c>
      <c r="AB196" s="523"/>
      <c r="AC196" s="523">
        <v>0.67</v>
      </c>
      <c r="AD196" s="523">
        <v>0.67</v>
      </c>
      <c r="AE196" s="523"/>
      <c r="AF196" s="523"/>
      <c r="AG196" s="523">
        <v>0.67</v>
      </c>
      <c r="AH196" s="523">
        <v>0.67</v>
      </c>
      <c r="AI196" s="523"/>
      <c r="AJ196" s="523"/>
      <c r="AK196" s="523">
        <v>0.67</v>
      </c>
      <c r="AL196" s="523">
        <v>0.67</v>
      </c>
      <c r="AM196" s="523"/>
      <c r="AN196" s="523"/>
      <c r="AO196" s="523"/>
      <c r="AP196" s="523"/>
      <c r="AQ196" s="523"/>
    </row>
    <row r="197" spans="1:43" ht="12.75">
      <c r="A197" s="522" t="s">
        <v>141</v>
      </c>
      <c r="B197" s="523"/>
      <c r="C197" s="523"/>
      <c r="D197" s="523"/>
      <c r="E197" s="523"/>
      <c r="F197" s="523"/>
      <c r="G197" s="523"/>
      <c r="H197" s="523"/>
      <c r="I197" s="523"/>
      <c r="J197" s="523"/>
      <c r="K197" s="523"/>
      <c r="L197" s="523"/>
      <c r="M197" s="523"/>
      <c r="N197" s="523"/>
      <c r="O197" s="523"/>
      <c r="P197" s="523"/>
      <c r="Q197" s="523"/>
      <c r="R197" s="523">
        <v>1</v>
      </c>
      <c r="S197" s="523">
        <v>1</v>
      </c>
      <c r="T197" s="523"/>
      <c r="U197" s="523">
        <v>0.21</v>
      </c>
      <c r="V197" s="523"/>
      <c r="W197" s="523"/>
      <c r="X197" s="523"/>
      <c r="Y197" s="523"/>
      <c r="Z197" s="523"/>
      <c r="AA197" s="523"/>
      <c r="AB197" s="523"/>
      <c r="AC197" s="523"/>
      <c r="AD197" s="523"/>
      <c r="AE197" s="523"/>
      <c r="AF197" s="523"/>
      <c r="AG197" s="523"/>
      <c r="AH197" s="523"/>
      <c r="AI197" s="523"/>
      <c r="AJ197" s="523"/>
      <c r="AK197" s="523"/>
      <c r="AL197" s="523"/>
      <c r="AM197" s="523"/>
      <c r="AN197" s="523"/>
      <c r="AO197" s="523"/>
      <c r="AP197" s="523"/>
      <c r="AQ197" s="523"/>
    </row>
    <row r="198" spans="1:43" ht="12.75">
      <c r="A198" s="522" t="s">
        <v>142</v>
      </c>
      <c r="B198" s="523">
        <v>0.88</v>
      </c>
      <c r="C198" s="523">
        <v>0.88</v>
      </c>
      <c r="D198" s="523"/>
      <c r="E198" s="523"/>
      <c r="F198" s="523">
        <v>0.88</v>
      </c>
      <c r="G198" s="523">
        <v>0.88</v>
      </c>
      <c r="H198" s="523"/>
      <c r="I198" s="523"/>
      <c r="J198" s="523">
        <v>0.88</v>
      </c>
      <c r="K198" s="523">
        <v>0.88</v>
      </c>
      <c r="L198" s="523"/>
      <c r="M198" s="523"/>
      <c r="N198" s="523"/>
      <c r="O198" s="523"/>
      <c r="P198" s="523"/>
      <c r="Q198" s="523">
        <v>1</v>
      </c>
      <c r="R198" s="523">
        <v>1</v>
      </c>
      <c r="S198" s="523"/>
      <c r="T198" s="523">
        <v>1</v>
      </c>
      <c r="U198" s="523"/>
      <c r="V198" s="523">
        <v>0.68</v>
      </c>
      <c r="W198" s="523"/>
      <c r="X198" s="523"/>
      <c r="Y198" s="523"/>
      <c r="Z198" s="523"/>
      <c r="AA198" s="523">
        <v>0.6</v>
      </c>
      <c r="AB198" s="523"/>
      <c r="AC198" s="523">
        <v>0.67</v>
      </c>
      <c r="AD198" s="523">
        <v>0.67</v>
      </c>
      <c r="AE198" s="523"/>
      <c r="AF198" s="523"/>
      <c r="AG198" s="523">
        <v>0.67</v>
      </c>
      <c r="AH198" s="523">
        <v>1</v>
      </c>
      <c r="AI198" s="523"/>
      <c r="AJ198" s="523"/>
      <c r="AK198" s="523">
        <v>0.89</v>
      </c>
      <c r="AL198" s="523">
        <v>0.67</v>
      </c>
      <c r="AM198" s="523"/>
      <c r="AN198" s="523"/>
      <c r="AO198" s="523"/>
      <c r="AP198" s="523"/>
      <c r="AQ198" s="523"/>
    </row>
    <row r="199" spans="1:43" ht="12.75">
      <c r="A199" s="522" t="s">
        <v>143</v>
      </c>
      <c r="B199" s="523"/>
      <c r="C199" s="523"/>
      <c r="D199" s="523"/>
      <c r="E199" s="523"/>
      <c r="F199" s="523"/>
      <c r="G199" s="523"/>
      <c r="H199" s="523"/>
      <c r="I199" s="523"/>
      <c r="J199" s="523"/>
      <c r="K199" s="523"/>
      <c r="L199" s="523"/>
      <c r="M199" s="523"/>
      <c r="N199" s="523"/>
      <c r="O199" s="523"/>
      <c r="P199" s="523"/>
      <c r="Q199" s="523"/>
      <c r="R199" s="523">
        <v>1</v>
      </c>
      <c r="S199" s="523">
        <v>1</v>
      </c>
      <c r="T199" s="523"/>
      <c r="U199" s="523">
        <v>0.21</v>
      </c>
      <c r="V199" s="523"/>
      <c r="W199" s="523"/>
      <c r="X199" s="523"/>
      <c r="Y199" s="523"/>
      <c r="Z199" s="523"/>
      <c r="AA199" s="523"/>
      <c r="AB199" s="523"/>
      <c r="AC199" s="523"/>
      <c r="AD199" s="523"/>
      <c r="AE199" s="523"/>
      <c r="AF199" s="523"/>
      <c r="AG199" s="523"/>
      <c r="AH199" s="523"/>
      <c r="AI199" s="523"/>
      <c r="AJ199" s="523"/>
      <c r="AK199" s="523"/>
      <c r="AL199" s="523"/>
      <c r="AM199" s="523"/>
      <c r="AN199" s="523"/>
      <c r="AO199" s="523"/>
      <c r="AP199" s="523"/>
      <c r="AQ199" s="549"/>
    </row>
    <row r="200" spans="1:43" ht="12.75">
      <c r="A200" s="522" t="s">
        <v>144</v>
      </c>
      <c r="B200" s="523">
        <v>0.88</v>
      </c>
      <c r="C200" s="523">
        <v>0.75</v>
      </c>
      <c r="D200" s="523"/>
      <c r="E200" s="523"/>
      <c r="F200" s="523">
        <v>0.88</v>
      </c>
      <c r="G200" s="523">
        <v>0.75</v>
      </c>
      <c r="H200" s="523"/>
      <c r="I200" s="523"/>
      <c r="J200" s="523">
        <v>0.88</v>
      </c>
      <c r="K200" s="523">
        <v>0.88</v>
      </c>
      <c r="L200" s="523"/>
      <c r="M200" s="523"/>
      <c r="N200" s="523"/>
      <c r="O200" s="523"/>
      <c r="P200" s="523"/>
      <c r="Q200" s="523">
        <v>1</v>
      </c>
      <c r="R200" s="523">
        <v>1</v>
      </c>
      <c r="S200" s="523"/>
      <c r="T200" s="523">
        <v>0.77</v>
      </c>
      <c r="U200" s="523"/>
      <c r="V200" s="523">
        <v>0.21</v>
      </c>
      <c r="W200" s="523"/>
      <c r="X200" s="523"/>
      <c r="Y200" s="523"/>
      <c r="Z200" s="523"/>
      <c r="AA200" s="523">
        <v>1</v>
      </c>
      <c r="AB200" s="523"/>
      <c r="AC200" s="523">
        <v>1</v>
      </c>
      <c r="AD200" s="523">
        <v>1</v>
      </c>
      <c r="AE200" s="523"/>
      <c r="AF200" s="523"/>
      <c r="AG200" s="523">
        <v>0.67</v>
      </c>
      <c r="AH200" s="523">
        <v>0.67</v>
      </c>
      <c r="AI200" s="523"/>
      <c r="AJ200" s="523"/>
      <c r="AK200" s="523">
        <v>0.89</v>
      </c>
      <c r="AL200" s="523">
        <v>0.89</v>
      </c>
      <c r="AM200" s="523"/>
      <c r="AN200" s="523"/>
      <c r="AO200" s="523"/>
      <c r="AP200" s="523"/>
      <c r="AQ200" s="549"/>
    </row>
    <row r="201" spans="1:43" ht="12.75">
      <c r="A201" s="522" t="s">
        <v>145</v>
      </c>
      <c r="B201" s="523"/>
      <c r="C201" s="523"/>
      <c r="D201" s="523"/>
      <c r="E201" s="523"/>
      <c r="F201" s="523"/>
      <c r="G201" s="523"/>
      <c r="H201" s="523"/>
      <c r="I201" s="523"/>
      <c r="J201" s="523"/>
      <c r="K201" s="523"/>
      <c r="L201" s="523"/>
      <c r="M201" s="523"/>
      <c r="N201" s="523"/>
      <c r="O201" s="523"/>
      <c r="P201" s="523"/>
      <c r="Q201" s="523"/>
      <c r="R201" s="523">
        <v>1</v>
      </c>
      <c r="S201" s="523">
        <v>1</v>
      </c>
      <c r="T201" s="523"/>
      <c r="U201" s="523">
        <v>0.21</v>
      </c>
      <c r="V201" s="523"/>
      <c r="W201" s="523"/>
      <c r="X201" s="523"/>
      <c r="Y201" s="523"/>
      <c r="Z201" s="523"/>
      <c r="AA201" s="523"/>
      <c r="AB201" s="523"/>
      <c r="AC201" s="523"/>
      <c r="AD201" s="523"/>
      <c r="AE201" s="523"/>
      <c r="AF201" s="523"/>
      <c r="AG201" s="523"/>
      <c r="AH201" s="523"/>
      <c r="AI201" s="523"/>
      <c r="AJ201" s="523"/>
      <c r="AK201" s="523"/>
      <c r="AL201" s="523"/>
      <c r="AM201" s="523"/>
      <c r="AN201" s="523"/>
      <c r="AO201" s="523"/>
      <c r="AP201" s="523"/>
      <c r="AQ201" s="549"/>
    </row>
    <row r="202" spans="1:43" ht="12.75">
      <c r="A202" s="522" t="s">
        <v>146</v>
      </c>
      <c r="B202" s="523">
        <v>0.88</v>
      </c>
      <c r="C202" s="523">
        <v>0.88</v>
      </c>
      <c r="D202" s="523"/>
      <c r="E202" s="523"/>
      <c r="F202" s="523">
        <v>0.88</v>
      </c>
      <c r="G202" s="523">
        <v>0.88</v>
      </c>
      <c r="H202" s="523"/>
      <c r="I202" s="523"/>
      <c r="J202" s="523">
        <v>0.88</v>
      </c>
      <c r="K202" s="523">
        <v>0.88</v>
      </c>
      <c r="L202" s="523"/>
      <c r="M202" s="523"/>
      <c r="N202" s="523"/>
      <c r="O202" s="523"/>
      <c r="P202" s="523"/>
      <c r="Q202" s="523">
        <v>1</v>
      </c>
      <c r="R202" s="523">
        <v>1</v>
      </c>
      <c r="S202" s="523"/>
      <c r="T202" s="523">
        <v>1</v>
      </c>
      <c r="U202" s="523"/>
      <c r="V202" s="523">
        <v>0.68</v>
      </c>
      <c r="W202" s="523"/>
      <c r="X202" s="523"/>
      <c r="Y202" s="523"/>
      <c r="Z202" s="523"/>
      <c r="AA202" s="523">
        <v>0.6</v>
      </c>
      <c r="AB202" s="523"/>
      <c r="AC202" s="523">
        <v>0.67</v>
      </c>
      <c r="AD202" s="523">
        <v>0.89</v>
      </c>
      <c r="AE202" s="523"/>
      <c r="AF202" s="523"/>
      <c r="AG202" s="523">
        <v>0.67</v>
      </c>
      <c r="AH202" s="523">
        <v>0.67</v>
      </c>
      <c r="AI202" s="523"/>
      <c r="AJ202" s="523"/>
      <c r="AK202" s="523">
        <v>0.67</v>
      </c>
      <c r="AL202" s="523">
        <v>0.67</v>
      </c>
      <c r="AM202" s="523"/>
      <c r="AN202" s="523"/>
      <c r="AO202" s="523"/>
      <c r="AP202" s="523"/>
      <c r="AQ202" s="549"/>
    </row>
    <row r="203" spans="1:43" ht="12.75">
      <c r="A203" s="522" t="s">
        <v>147</v>
      </c>
      <c r="B203" s="523"/>
      <c r="C203" s="523"/>
      <c r="D203" s="523"/>
      <c r="E203" s="523"/>
      <c r="F203" s="523"/>
      <c r="G203" s="523"/>
      <c r="H203" s="523"/>
      <c r="I203" s="523"/>
      <c r="J203" s="523"/>
      <c r="K203" s="523"/>
      <c r="L203" s="523"/>
      <c r="M203" s="523"/>
      <c r="N203" s="523"/>
      <c r="O203" s="523"/>
      <c r="P203" s="523"/>
      <c r="Q203" s="523"/>
      <c r="R203" s="523">
        <v>1</v>
      </c>
      <c r="S203" s="523">
        <v>1</v>
      </c>
      <c r="T203" s="523"/>
      <c r="U203" s="523">
        <v>0.21</v>
      </c>
      <c r="V203" s="523"/>
      <c r="W203" s="523"/>
      <c r="X203" s="523"/>
      <c r="Y203" s="523"/>
      <c r="Z203" s="523"/>
      <c r="AA203" s="523"/>
      <c r="AB203" s="523"/>
      <c r="AC203" s="523"/>
      <c r="AD203" s="523"/>
      <c r="AE203" s="523"/>
      <c r="AF203" s="523"/>
      <c r="AG203" s="523"/>
      <c r="AH203" s="523"/>
      <c r="AI203" s="523"/>
      <c r="AJ203" s="523"/>
      <c r="AK203" s="523"/>
      <c r="AL203" s="523"/>
      <c r="AM203" s="523"/>
      <c r="AN203" s="523"/>
      <c r="AO203" s="523"/>
      <c r="AP203" s="523"/>
      <c r="AQ203" s="549"/>
    </row>
    <row r="204" spans="1:43" ht="12.75">
      <c r="A204" s="522" t="s">
        <v>148</v>
      </c>
      <c r="B204" s="523">
        <v>0.88</v>
      </c>
      <c r="C204" s="523">
        <v>0.88</v>
      </c>
      <c r="D204" s="523"/>
      <c r="E204" s="523"/>
      <c r="F204" s="523">
        <v>0.88</v>
      </c>
      <c r="G204" s="523">
        <v>0.88</v>
      </c>
      <c r="H204" s="523"/>
      <c r="I204" s="523"/>
      <c r="J204" s="523">
        <v>0.88</v>
      </c>
      <c r="K204" s="523">
        <v>0.88</v>
      </c>
      <c r="L204" s="523"/>
      <c r="M204" s="523"/>
      <c r="N204" s="523"/>
      <c r="O204" s="523"/>
      <c r="P204" s="523"/>
      <c r="Q204" s="523">
        <v>1</v>
      </c>
      <c r="R204" s="523">
        <v>1</v>
      </c>
      <c r="S204" s="523"/>
      <c r="T204" s="523">
        <v>1</v>
      </c>
      <c r="U204" s="523"/>
      <c r="V204" s="523">
        <v>0.68</v>
      </c>
      <c r="W204" s="523"/>
      <c r="X204" s="523"/>
      <c r="Y204" s="523"/>
      <c r="Z204" s="523"/>
      <c r="AA204" s="523">
        <v>0.6</v>
      </c>
      <c r="AB204" s="523"/>
      <c r="AC204" s="523">
        <v>0.67</v>
      </c>
      <c r="AD204" s="523">
        <v>0.67</v>
      </c>
      <c r="AE204" s="523"/>
      <c r="AF204" s="523"/>
      <c r="AG204" s="523">
        <v>0.67</v>
      </c>
      <c r="AH204" s="523">
        <v>0.67</v>
      </c>
      <c r="AI204" s="523"/>
      <c r="AJ204" s="523"/>
      <c r="AK204" s="523">
        <v>0.67</v>
      </c>
      <c r="AL204" s="523">
        <v>0.67</v>
      </c>
      <c r="AM204" s="523"/>
      <c r="AN204" s="523"/>
      <c r="AO204" s="523"/>
      <c r="AP204" s="523"/>
      <c r="AQ204" s="549"/>
    </row>
    <row r="205" spans="1:43" s="536" customFormat="1" ht="12.75">
      <c r="A205" s="539" t="s">
        <v>559</v>
      </c>
      <c r="B205" s="548"/>
      <c r="C205" s="548"/>
      <c r="D205" s="548"/>
      <c r="E205" s="548"/>
      <c r="F205" s="548"/>
      <c r="G205" s="548"/>
      <c r="H205" s="548"/>
      <c r="I205" s="548"/>
      <c r="J205" s="548"/>
      <c r="K205" s="548"/>
      <c r="L205" s="548"/>
      <c r="M205" s="548"/>
      <c r="N205" s="548"/>
      <c r="O205" s="548"/>
      <c r="P205" s="548"/>
      <c r="Q205" s="548"/>
      <c r="R205" s="548">
        <v>0.79</v>
      </c>
      <c r="S205" s="548">
        <v>0.88</v>
      </c>
      <c r="T205" s="548"/>
      <c r="U205" s="548">
        <v>1</v>
      </c>
      <c r="V205" s="548"/>
      <c r="W205" s="548"/>
      <c r="X205" s="548"/>
      <c r="Y205" s="548"/>
      <c r="Z205" s="548"/>
      <c r="AA205" s="548"/>
      <c r="AB205" s="548"/>
      <c r="AC205" s="548"/>
      <c r="AD205" s="548"/>
      <c r="AE205" s="548"/>
      <c r="AF205" s="548"/>
      <c r="AG205" s="548"/>
      <c r="AH205" s="548"/>
      <c r="AI205" s="548"/>
      <c r="AJ205" s="548"/>
      <c r="AK205" s="548"/>
      <c r="AL205" s="548"/>
      <c r="AM205" s="548"/>
      <c r="AN205" s="548"/>
      <c r="AO205" s="548"/>
      <c r="AP205" s="548"/>
      <c r="AQ205" s="548"/>
    </row>
    <row r="206" spans="1:43" ht="12.75">
      <c r="A206" s="522" t="s">
        <v>560</v>
      </c>
      <c r="B206" s="523">
        <v>0.85</v>
      </c>
      <c r="C206" s="523">
        <v>0.85</v>
      </c>
      <c r="D206" s="523"/>
      <c r="E206" s="523"/>
      <c r="F206" s="523">
        <v>0.85</v>
      </c>
      <c r="G206" s="523">
        <v>0.7</v>
      </c>
      <c r="H206" s="523"/>
      <c r="I206" s="523"/>
      <c r="J206" s="523">
        <v>0.85</v>
      </c>
      <c r="K206" s="523">
        <v>0.85</v>
      </c>
      <c r="L206" s="523"/>
      <c r="M206" s="523"/>
      <c r="N206" s="523"/>
      <c r="O206" s="523"/>
      <c r="P206" s="523"/>
      <c r="Q206" s="523">
        <v>1</v>
      </c>
      <c r="R206" s="523">
        <v>0.79</v>
      </c>
      <c r="S206" s="523"/>
      <c r="T206" s="523">
        <v>0.88</v>
      </c>
      <c r="U206" s="523"/>
      <c r="V206" s="523">
        <v>0.88</v>
      </c>
      <c r="W206" s="523"/>
      <c r="X206" s="523"/>
      <c r="Y206" s="523"/>
      <c r="Z206" s="523"/>
      <c r="AA206" s="523">
        <v>0.73</v>
      </c>
      <c r="AB206" s="523"/>
      <c r="AC206" s="523">
        <v>0.9</v>
      </c>
      <c r="AD206" s="523">
        <v>0.9</v>
      </c>
      <c r="AE206" s="523"/>
      <c r="AF206" s="523"/>
      <c r="AG206" s="523">
        <v>0.9</v>
      </c>
      <c r="AH206" s="523">
        <v>0.9</v>
      </c>
      <c r="AI206" s="523"/>
      <c r="AJ206" s="523"/>
      <c r="AK206" s="523">
        <v>0.9</v>
      </c>
      <c r="AL206" s="523">
        <v>0.9</v>
      </c>
      <c r="AM206" s="523"/>
      <c r="AN206" s="523"/>
      <c r="AO206" s="523"/>
      <c r="AP206" s="523"/>
      <c r="AQ206" s="523"/>
    </row>
    <row r="207" spans="1:43" ht="12.75">
      <c r="A207" s="522" t="s">
        <v>561</v>
      </c>
      <c r="B207" s="523"/>
      <c r="C207" s="523"/>
      <c r="D207" s="523"/>
      <c r="E207" s="523"/>
      <c r="F207" s="523"/>
      <c r="G207" s="523"/>
      <c r="H207" s="523"/>
      <c r="I207" s="523"/>
      <c r="J207" s="523"/>
      <c r="K207" s="523"/>
      <c r="L207" s="523"/>
      <c r="M207" s="523"/>
      <c r="N207" s="523"/>
      <c r="O207" s="523"/>
      <c r="P207" s="523"/>
      <c r="Q207" s="523"/>
      <c r="R207" s="523">
        <v>1</v>
      </c>
      <c r="S207" s="523">
        <v>0.93</v>
      </c>
      <c r="T207" s="523"/>
      <c r="U207" s="523">
        <v>1</v>
      </c>
      <c r="V207" s="523"/>
      <c r="W207" s="523"/>
      <c r="X207" s="523"/>
      <c r="Y207" s="523"/>
      <c r="Z207" s="523"/>
      <c r="AA207" s="523"/>
      <c r="AB207" s="523"/>
      <c r="AC207" s="523"/>
      <c r="AD207" s="523"/>
      <c r="AE207" s="523"/>
      <c r="AF207" s="523"/>
      <c r="AG207" s="523"/>
      <c r="AH207" s="523"/>
      <c r="AI207" s="523"/>
      <c r="AJ207" s="523"/>
      <c r="AK207" s="523"/>
      <c r="AL207" s="523"/>
      <c r="AM207" s="523"/>
      <c r="AN207" s="523"/>
      <c r="AO207" s="523"/>
      <c r="AP207" s="523"/>
      <c r="AQ207" s="523"/>
    </row>
    <row r="208" spans="1:43" ht="12.75">
      <c r="A208" s="522" t="s">
        <v>562</v>
      </c>
      <c r="B208" s="523">
        <v>0.85</v>
      </c>
      <c r="C208" s="523">
        <v>0.85</v>
      </c>
      <c r="D208" s="523"/>
      <c r="E208" s="523"/>
      <c r="F208" s="523">
        <v>0.85</v>
      </c>
      <c r="G208" s="523">
        <v>0.85</v>
      </c>
      <c r="H208" s="523"/>
      <c r="I208" s="523"/>
      <c r="J208" s="523">
        <v>0.85</v>
      </c>
      <c r="K208" s="523">
        <v>0.85</v>
      </c>
      <c r="L208" s="523"/>
      <c r="M208" s="523"/>
      <c r="N208" s="523"/>
      <c r="O208" s="523"/>
      <c r="P208" s="523"/>
      <c r="Q208" s="523">
        <v>1</v>
      </c>
      <c r="R208" s="523">
        <v>0.79</v>
      </c>
      <c r="S208" s="523"/>
      <c r="T208" s="523">
        <v>0.88</v>
      </c>
      <c r="U208" s="523"/>
      <c r="V208" s="523">
        <v>0.88</v>
      </c>
      <c r="W208" s="523"/>
      <c r="X208" s="523"/>
      <c r="Y208" s="523"/>
      <c r="Z208" s="523"/>
      <c r="AA208" s="523">
        <v>0.73</v>
      </c>
      <c r="AB208" s="523"/>
      <c r="AC208" s="523">
        <v>0.9</v>
      </c>
      <c r="AD208" s="523">
        <v>0.9</v>
      </c>
      <c r="AE208" s="523"/>
      <c r="AF208" s="523"/>
      <c r="AG208" s="523">
        <v>0.9</v>
      </c>
      <c r="AH208" s="523">
        <v>0.9</v>
      </c>
      <c r="AI208" s="523"/>
      <c r="AJ208" s="523"/>
      <c r="AK208" s="523">
        <v>0.94</v>
      </c>
      <c r="AL208" s="523">
        <v>0.94</v>
      </c>
      <c r="AM208" s="523"/>
      <c r="AN208" s="523"/>
      <c r="AO208" s="523"/>
      <c r="AP208" s="523"/>
      <c r="AQ208" s="523"/>
    </row>
    <row r="209" spans="1:43" ht="12.75">
      <c r="A209" s="522" t="s">
        <v>563</v>
      </c>
      <c r="B209" s="523"/>
      <c r="C209" s="523"/>
      <c r="D209" s="523"/>
      <c r="E209" s="523"/>
      <c r="F209" s="523"/>
      <c r="G209" s="523"/>
      <c r="H209" s="523"/>
      <c r="I209" s="523"/>
      <c r="J209" s="523"/>
      <c r="K209" s="523"/>
      <c r="L209" s="523"/>
      <c r="M209" s="523"/>
      <c r="N209" s="523"/>
      <c r="O209" s="523"/>
      <c r="P209" s="523"/>
      <c r="Q209" s="523"/>
      <c r="R209" s="523">
        <v>0.75</v>
      </c>
      <c r="S209" s="523">
        <v>0.88</v>
      </c>
      <c r="T209" s="523"/>
      <c r="U209" s="523">
        <v>0.33</v>
      </c>
      <c r="V209" s="523"/>
      <c r="W209" s="523"/>
      <c r="X209" s="523"/>
      <c r="Y209" s="523"/>
      <c r="Z209" s="523"/>
      <c r="AA209" s="523"/>
      <c r="AB209" s="523"/>
      <c r="AC209" s="523"/>
      <c r="AD209" s="523"/>
      <c r="AE209" s="523"/>
      <c r="AF209" s="523"/>
      <c r="AG209" s="523"/>
      <c r="AH209" s="523"/>
      <c r="AI209" s="523"/>
      <c r="AJ209" s="523"/>
      <c r="AK209" s="523"/>
      <c r="AL209" s="523"/>
      <c r="AM209" s="523"/>
      <c r="AN209" s="523"/>
      <c r="AO209" s="523"/>
      <c r="AP209" s="523"/>
      <c r="AQ209" s="523"/>
    </row>
    <row r="210" spans="1:43" ht="12.75">
      <c r="A210" s="522" t="s">
        <v>564</v>
      </c>
      <c r="B210" s="523">
        <v>0.85</v>
      </c>
      <c r="C210" s="523">
        <v>0.85</v>
      </c>
      <c r="D210" s="523"/>
      <c r="E210" s="523"/>
      <c r="F210" s="523">
        <v>0.85</v>
      </c>
      <c r="G210" s="523">
        <v>0.85</v>
      </c>
      <c r="H210" s="523"/>
      <c r="I210" s="523"/>
      <c r="J210" s="523">
        <v>0.85</v>
      </c>
      <c r="K210" s="523">
        <v>0.85</v>
      </c>
      <c r="L210" s="523"/>
      <c r="M210" s="523"/>
      <c r="N210" s="523"/>
      <c r="O210" s="523"/>
      <c r="P210" s="523"/>
      <c r="Q210" s="523">
        <v>1</v>
      </c>
      <c r="R210" s="523">
        <v>0.75</v>
      </c>
      <c r="S210" s="523"/>
      <c r="T210" s="523">
        <v>0.88</v>
      </c>
      <c r="U210" s="523"/>
      <c r="V210" s="523">
        <v>0.88</v>
      </c>
      <c r="W210" s="523"/>
      <c r="X210" s="523"/>
      <c r="Y210" s="523"/>
      <c r="Z210" s="523"/>
      <c r="AA210" s="523">
        <v>1</v>
      </c>
      <c r="AB210" s="523"/>
      <c r="AC210" s="523">
        <v>0.94</v>
      </c>
      <c r="AD210" s="523">
        <v>0.94</v>
      </c>
      <c r="AE210" s="523"/>
      <c r="AF210" s="523"/>
      <c r="AG210" s="523">
        <v>0.94</v>
      </c>
      <c r="AH210" s="523">
        <v>0.9</v>
      </c>
      <c r="AI210" s="523"/>
      <c r="AJ210" s="523"/>
      <c r="AK210" s="523">
        <v>0.94</v>
      </c>
      <c r="AL210" s="523">
        <v>0.94</v>
      </c>
      <c r="AM210" s="523"/>
      <c r="AN210" s="523"/>
      <c r="AO210" s="523"/>
      <c r="AP210" s="523"/>
      <c r="AQ210" s="523"/>
    </row>
    <row r="211" spans="1:43" ht="12.75">
      <c r="A211" s="522" t="s">
        <v>565</v>
      </c>
      <c r="B211" s="523"/>
      <c r="C211" s="523"/>
      <c r="D211" s="523"/>
      <c r="E211" s="523"/>
      <c r="F211" s="523"/>
      <c r="G211" s="523"/>
      <c r="H211" s="523"/>
      <c r="I211" s="523"/>
      <c r="J211" s="523"/>
      <c r="K211" s="523"/>
      <c r="L211" s="523"/>
      <c r="M211" s="523"/>
      <c r="N211" s="523"/>
      <c r="O211" s="523"/>
      <c r="P211" s="523"/>
      <c r="Q211" s="523"/>
      <c r="R211" s="523">
        <v>0.79</v>
      </c>
      <c r="S211" s="523">
        <v>0.88</v>
      </c>
      <c r="T211" s="523"/>
      <c r="U211" s="523">
        <v>0.33</v>
      </c>
      <c r="V211" s="523"/>
      <c r="W211" s="523"/>
      <c r="X211" s="523"/>
      <c r="Y211" s="523"/>
      <c r="Z211" s="523"/>
      <c r="AA211" s="523"/>
      <c r="AB211" s="523"/>
      <c r="AC211" s="523"/>
      <c r="AD211" s="523"/>
      <c r="AE211" s="523"/>
      <c r="AF211" s="523"/>
      <c r="AG211" s="523"/>
      <c r="AH211" s="523"/>
      <c r="AI211" s="523"/>
      <c r="AJ211" s="523"/>
      <c r="AK211" s="523"/>
      <c r="AL211" s="523"/>
      <c r="AM211" s="523"/>
      <c r="AN211" s="523"/>
      <c r="AO211" s="523"/>
      <c r="AP211" s="523"/>
      <c r="AQ211" s="523"/>
    </row>
    <row r="212" spans="1:43" ht="12.75">
      <c r="A212" s="522" t="s">
        <v>156</v>
      </c>
      <c r="B212" s="523">
        <v>0.85</v>
      </c>
      <c r="C212" s="523">
        <v>0.85</v>
      </c>
      <c r="D212" s="523"/>
      <c r="E212" s="523"/>
      <c r="F212" s="523">
        <v>0.85</v>
      </c>
      <c r="G212" s="523">
        <v>0.85</v>
      </c>
      <c r="H212" s="523"/>
      <c r="I212" s="523"/>
      <c r="J212" s="523">
        <v>0.85</v>
      </c>
      <c r="K212" s="523">
        <v>0.85</v>
      </c>
      <c r="L212" s="523"/>
      <c r="M212" s="523"/>
      <c r="N212" s="523"/>
      <c r="O212" s="523"/>
      <c r="P212" s="523"/>
      <c r="Q212" s="523">
        <v>1</v>
      </c>
      <c r="R212" s="523">
        <v>0.79</v>
      </c>
      <c r="S212" s="523"/>
      <c r="T212" s="523">
        <v>0.88</v>
      </c>
      <c r="U212" s="523"/>
      <c r="V212" s="523">
        <v>0.88</v>
      </c>
      <c r="W212" s="523"/>
      <c r="X212" s="523"/>
      <c r="Y212" s="523"/>
      <c r="Z212" s="523"/>
      <c r="AA212" s="523">
        <v>1</v>
      </c>
      <c r="AB212" s="523"/>
      <c r="AC212" s="523">
        <v>0.94</v>
      </c>
      <c r="AD212" s="523">
        <v>0.9</v>
      </c>
      <c r="AE212" s="523"/>
      <c r="AF212" s="523"/>
      <c r="AG212" s="523">
        <v>0.94</v>
      </c>
      <c r="AH212" s="523">
        <v>0.94</v>
      </c>
      <c r="AI212" s="523"/>
      <c r="AJ212" s="523"/>
      <c r="AK212" s="523">
        <v>0.9</v>
      </c>
      <c r="AL212" s="523">
        <v>0.94</v>
      </c>
      <c r="AM212" s="523"/>
      <c r="AN212" s="523"/>
      <c r="AO212" s="523"/>
      <c r="AP212" s="523"/>
      <c r="AQ212" s="523"/>
    </row>
    <row r="213" spans="1:43" ht="12.75">
      <c r="A213" s="522" t="s">
        <v>157</v>
      </c>
      <c r="B213" s="523"/>
      <c r="C213" s="523"/>
      <c r="D213" s="523"/>
      <c r="E213" s="523"/>
      <c r="F213" s="523"/>
      <c r="G213" s="523"/>
      <c r="H213" s="523"/>
      <c r="I213" s="523"/>
      <c r="J213" s="523"/>
      <c r="K213" s="523"/>
      <c r="L213" s="523"/>
      <c r="M213" s="523"/>
      <c r="N213" s="523"/>
      <c r="O213" s="523"/>
      <c r="P213" s="523"/>
      <c r="Q213" s="523"/>
      <c r="R213" s="523">
        <v>0.79</v>
      </c>
      <c r="S213" s="523">
        <v>0.88</v>
      </c>
      <c r="T213" s="523"/>
      <c r="U213" s="523">
        <v>1</v>
      </c>
      <c r="V213" s="523"/>
      <c r="W213" s="523"/>
      <c r="X213" s="523"/>
      <c r="Y213" s="523"/>
      <c r="Z213" s="523"/>
      <c r="AA213" s="523"/>
      <c r="AB213" s="523"/>
      <c r="AC213" s="523"/>
      <c r="AD213" s="523"/>
      <c r="AE213" s="523"/>
      <c r="AF213" s="523"/>
      <c r="AG213" s="523"/>
      <c r="AH213" s="523"/>
      <c r="AI213" s="523"/>
      <c r="AJ213" s="523"/>
      <c r="AK213" s="523"/>
      <c r="AL213" s="523"/>
      <c r="AM213" s="523"/>
      <c r="AN213" s="523"/>
      <c r="AO213" s="523"/>
      <c r="AP213" s="523"/>
      <c r="AQ213" s="523"/>
    </row>
    <row r="214" spans="1:43" ht="12.75">
      <c r="A214" s="522" t="s">
        <v>158</v>
      </c>
      <c r="B214" s="523">
        <v>0.85</v>
      </c>
      <c r="C214" s="523">
        <v>0.85</v>
      </c>
      <c r="D214" s="523"/>
      <c r="E214" s="523"/>
      <c r="F214" s="523">
        <v>0.85</v>
      </c>
      <c r="G214" s="523">
        <v>0.7</v>
      </c>
      <c r="H214" s="523"/>
      <c r="I214" s="523"/>
      <c r="J214" s="523">
        <v>0.85</v>
      </c>
      <c r="K214" s="523">
        <v>0.85</v>
      </c>
      <c r="L214" s="523"/>
      <c r="M214" s="523"/>
      <c r="N214" s="523"/>
      <c r="O214" s="523"/>
      <c r="P214" s="523"/>
      <c r="Q214" s="523">
        <v>1</v>
      </c>
      <c r="R214" s="523">
        <v>0.79</v>
      </c>
      <c r="S214" s="523"/>
      <c r="T214" s="523">
        <v>0.88</v>
      </c>
      <c r="U214" s="523"/>
      <c r="V214" s="523">
        <v>0.88</v>
      </c>
      <c r="W214" s="523"/>
      <c r="X214" s="523"/>
      <c r="Y214" s="523"/>
      <c r="Z214" s="523"/>
      <c r="AA214" s="523">
        <v>0.73</v>
      </c>
      <c r="AB214" s="523"/>
      <c r="AC214" s="523">
        <v>0.9</v>
      </c>
      <c r="AD214" s="523">
        <v>0.9</v>
      </c>
      <c r="AE214" s="523"/>
      <c r="AF214" s="523"/>
      <c r="AG214" s="523">
        <v>0.9</v>
      </c>
      <c r="AH214" s="523">
        <v>0.9</v>
      </c>
      <c r="AI214" s="523"/>
      <c r="AJ214" s="523"/>
      <c r="AK214" s="523">
        <v>0.9</v>
      </c>
      <c r="AL214" s="523">
        <v>0.9</v>
      </c>
      <c r="AM214" s="523"/>
      <c r="AN214" s="523"/>
      <c r="AO214" s="523"/>
      <c r="AP214" s="523"/>
      <c r="AQ214" s="523"/>
    </row>
    <row r="215" spans="1:43" ht="12.75">
      <c r="A215" s="522" t="s">
        <v>159</v>
      </c>
      <c r="B215" s="523"/>
      <c r="C215" s="523"/>
      <c r="D215" s="523"/>
      <c r="E215" s="523"/>
      <c r="F215" s="523"/>
      <c r="G215" s="523"/>
      <c r="H215" s="523"/>
      <c r="I215" s="523"/>
      <c r="J215" s="523"/>
      <c r="K215" s="523"/>
      <c r="L215" s="523"/>
      <c r="M215" s="523"/>
      <c r="N215" s="523"/>
      <c r="O215" s="523"/>
      <c r="P215" s="523"/>
      <c r="Q215" s="523"/>
      <c r="R215" s="523">
        <v>1</v>
      </c>
      <c r="S215" s="523">
        <v>0.88</v>
      </c>
      <c r="T215" s="523"/>
      <c r="U215" s="523">
        <v>1</v>
      </c>
      <c r="V215" s="523"/>
      <c r="W215" s="523"/>
      <c r="X215" s="523"/>
      <c r="Y215" s="523"/>
      <c r="Z215" s="523"/>
      <c r="AA215" s="523"/>
      <c r="AB215" s="523"/>
      <c r="AC215" s="523"/>
      <c r="AD215" s="523"/>
      <c r="AE215" s="523"/>
      <c r="AF215" s="523"/>
      <c r="AG215" s="523"/>
      <c r="AH215" s="523"/>
      <c r="AI215" s="523"/>
      <c r="AJ215" s="523"/>
      <c r="AK215" s="523"/>
      <c r="AL215" s="523"/>
      <c r="AM215" s="523"/>
      <c r="AN215" s="523"/>
      <c r="AO215" s="523"/>
      <c r="AP215" s="523"/>
      <c r="AQ215" s="523"/>
    </row>
    <row r="216" spans="1:43" ht="12.75">
      <c r="A216" s="522" t="s">
        <v>160</v>
      </c>
      <c r="B216" s="523">
        <v>0.85</v>
      </c>
      <c r="C216" s="523">
        <v>0.85</v>
      </c>
      <c r="D216" s="523"/>
      <c r="E216" s="523"/>
      <c r="F216" s="523">
        <v>0.85</v>
      </c>
      <c r="G216" s="523">
        <v>0.85</v>
      </c>
      <c r="H216" s="523"/>
      <c r="I216" s="523"/>
      <c r="J216" s="523">
        <v>0.85</v>
      </c>
      <c r="K216" s="523">
        <v>0.85</v>
      </c>
      <c r="L216" s="523"/>
      <c r="M216" s="523"/>
      <c r="N216" s="523"/>
      <c r="O216" s="523"/>
      <c r="P216" s="523"/>
      <c r="Q216" s="523">
        <v>1</v>
      </c>
      <c r="R216" s="523">
        <v>0.79</v>
      </c>
      <c r="S216" s="523"/>
      <c r="T216" s="523">
        <v>0.88</v>
      </c>
      <c r="U216" s="523"/>
      <c r="V216" s="523">
        <v>0.88</v>
      </c>
      <c r="W216" s="523"/>
      <c r="X216" s="523"/>
      <c r="Y216" s="523"/>
      <c r="Z216" s="523"/>
      <c r="AA216" s="523">
        <v>0.73</v>
      </c>
      <c r="AB216" s="523"/>
      <c r="AC216" s="523">
        <v>0.9</v>
      </c>
      <c r="AD216" s="523">
        <v>0.9</v>
      </c>
      <c r="AE216" s="523"/>
      <c r="AF216" s="523"/>
      <c r="AG216" s="523">
        <v>0.9</v>
      </c>
      <c r="AH216" s="523">
        <v>0.9</v>
      </c>
      <c r="AI216" s="523"/>
      <c r="AJ216" s="523"/>
      <c r="AK216" s="523">
        <v>0.9</v>
      </c>
      <c r="AL216" s="523">
        <v>0.9</v>
      </c>
      <c r="AM216" s="523"/>
      <c r="AN216" s="523"/>
      <c r="AO216" s="523"/>
      <c r="AP216" s="523"/>
      <c r="AQ216" s="523"/>
    </row>
    <row r="217" spans="1:43" ht="12.75">
      <c r="A217" s="522" t="s">
        <v>161</v>
      </c>
      <c r="B217" s="523"/>
      <c r="C217" s="523"/>
      <c r="D217" s="523"/>
      <c r="E217" s="523"/>
      <c r="F217" s="523"/>
      <c r="G217" s="523"/>
      <c r="H217" s="523"/>
      <c r="I217" s="523"/>
      <c r="J217" s="523"/>
      <c r="K217" s="523"/>
      <c r="L217" s="523"/>
      <c r="M217" s="523"/>
      <c r="N217" s="523"/>
      <c r="O217" s="523"/>
      <c r="P217" s="523"/>
      <c r="Q217" s="523"/>
      <c r="R217" s="523">
        <v>0.75</v>
      </c>
      <c r="S217" s="523">
        <v>0.88</v>
      </c>
      <c r="T217" s="523"/>
      <c r="U217" s="523">
        <v>1</v>
      </c>
      <c r="V217" s="523"/>
      <c r="W217" s="523"/>
      <c r="X217" s="523"/>
      <c r="Y217" s="523"/>
      <c r="Z217" s="523"/>
      <c r="AA217" s="523"/>
      <c r="AB217" s="523"/>
      <c r="AC217" s="523"/>
      <c r="AD217" s="523"/>
      <c r="AE217" s="523"/>
      <c r="AF217" s="523"/>
      <c r="AG217" s="523"/>
      <c r="AH217" s="523"/>
      <c r="AI217" s="523"/>
      <c r="AJ217" s="523"/>
      <c r="AK217" s="523"/>
      <c r="AL217" s="523"/>
      <c r="AM217" s="523"/>
      <c r="AN217" s="523"/>
      <c r="AO217" s="523"/>
      <c r="AP217" s="523"/>
      <c r="AQ217" s="523"/>
    </row>
    <row r="218" spans="1:43" ht="12.75">
      <c r="A218" s="522" t="s">
        <v>162</v>
      </c>
      <c r="B218" s="523">
        <v>0.85</v>
      </c>
      <c r="C218" s="523">
        <v>0.85</v>
      </c>
      <c r="D218" s="523"/>
      <c r="E218" s="523"/>
      <c r="F218" s="523">
        <v>0.85</v>
      </c>
      <c r="G218" s="523">
        <v>0.85</v>
      </c>
      <c r="H218" s="523"/>
      <c r="I218" s="523"/>
      <c r="J218" s="523">
        <v>0.85</v>
      </c>
      <c r="K218" s="523">
        <v>0.85</v>
      </c>
      <c r="L218" s="523"/>
      <c r="M218" s="523"/>
      <c r="N218" s="523"/>
      <c r="O218" s="523"/>
      <c r="P218" s="523"/>
      <c r="Q218" s="523">
        <v>1</v>
      </c>
      <c r="R218" s="523">
        <v>0.79</v>
      </c>
      <c r="S218" s="523"/>
      <c r="T218" s="523">
        <v>0.88</v>
      </c>
      <c r="U218" s="523"/>
      <c r="V218" s="523">
        <v>0.88</v>
      </c>
      <c r="W218" s="523"/>
      <c r="X218" s="523"/>
      <c r="Y218" s="523"/>
      <c r="Z218" s="523"/>
      <c r="AA218" s="523">
        <v>1</v>
      </c>
      <c r="AB218" s="523"/>
      <c r="AC218" s="523">
        <v>0.9</v>
      </c>
      <c r="AD218" s="523">
        <v>0.9</v>
      </c>
      <c r="AE218" s="523"/>
      <c r="AF218" s="523"/>
      <c r="AG218" s="523">
        <v>0.9</v>
      </c>
      <c r="AH218" s="523">
        <v>0.9</v>
      </c>
      <c r="AI218" s="523"/>
      <c r="AJ218" s="523"/>
      <c r="AK218" s="523">
        <v>0.9</v>
      </c>
      <c r="AL218" s="523">
        <v>0.9</v>
      </c>
      <c r="AM218" s="523"/>
      <c r="AN218" s="523"/>
      <c r="AO218" s="523"/>
      <c r="AP218" s="523"/>
      <c r="AQ218" s="523"/>
    </row>
    <row r="219" spans="1:43" ht="12.75">
      <c r="A219" s="522" t="s">
        <v>163</v>
      </c>
      <c r="B219" s="523"/>
      <c r="C219" s="523"/>
      <c r="D219" s="523"/>
      <c r="E219" s="523"/>
      <c r="F219" s="523"/>
      <c r="G219" s="523"/>
      <c r="H219" s="523"/>
      <c r="I219" s="523"/>
      <c r="J219" s="523"/>
      <c r="K219" s="523"/>
      <c r="L219" s="523"/>
      <c r="M219" s="523"/>
      <c r="N219" s="523"/>
      <c r="O219" s="523"/>
      <c r="P219" s="523"/>
      <c r="Q219" s="523"/>
      <c r="R219" s="523">
        <v>0.79</v>
      </c>
      <c r="S219" s="523">
        <v>0.88</v>
      </c>
      <c r="T219" s="523"/>
      <c r="U219" s="523">
        <v>1</v>
      </c>
      <c r="V219" s="523"/>
      <c r="W219" s="523"/>
      <c r="X219" s="523"/>
      <c r="Y219" s="523"/>
      <c r="Z219" s="523"/>
      <c r="AA219" s="523"/>
      <c r="AB219" s="523"/>
      <c r="AC219" s="523"/>
      <c r="AD219" s="523"/>
      <c r="AE219" s="523"/>
      <c r="AF219" s="523"/>
      <c r="AG219" s="523"/>
      <c r="AH219" s="523"/>
      <c r="AI219" s="523"/>
      <c r="AJ219" s="523"/>
      <c r="AK219" s="523"/>
      <c r="AL219" s="523"/>
      <c r="AM219" s="523"/>
      <c r="AN219" s="523"/>
      <c r="AO219" s="523"/>
      <c r="AP219" s="523"/>
      <c r="AQ219" s="549"/>
    </row>
    <row r="220" spans="1:43" ht="12.75">
      <c r="A220" s="522" t="s">
        <v>164</v>
      </c>
      <c r="B220" s="523">
        <v>0.85</v>
      </c>
      <c r="C220" s="523">
        <v>0.85</v>
      </c>
      <c r="D220" s="523"/>
      <c r="E220" s="523"/>
      <c r="F220" s="523">
        <v>0.85</v>
      </c>
      <c r="G220" s="523">
        <v>0.85</v>
      </c>
      <c r="H220" s="523"/>
      <c r="I220" s="523"/>
      <c r="J220" s="523">
        <v>0.85</v>
      </c>
      <c r="K220" s="523">
        <v>0.85</v>
      </c>
      <c r="L220" s="523"/>
      <c r="M220" s="523"/>
      <c r="N220" s="523"/>
      <c r="O220" s="523"/>
      <c r="P220" s="523"/>
      <c r="Q220" s="523">
        <v>1</v>
      </c>
      <c r="R220" s="523">
        <v>0.79</v>
      </c>
      <c r="S220" s="523"/>
      <c r="T220" s="523">
        <v>0.88</v>
      </c>
      <c r="U220" s="523"/>
      <c r="V220" s="523">
        <v>0.88</v>
      </c>
      <c r="W220" s="523"/>
      <c r="X220" s="523"/>
      <c r="Y220" s="523"/>
      <c r="Z220" s="523"/>
      <c r="AA220" s="523">
        <v>1</v>
      </c>
      <c r="AB220" s="523"/>
      <c r="AC220" s="523">
        <v>0.9</v>
      </c>
      <c r="AD220" s="523">
        <v>0.94</v>
      </c>
      <c r="AE220" s="523"/>
      <c r="AF220" s="523"/>
      <c r="AG220" s="523">
        <v>0.94</v>
      </c>
      <c r="AH220" s="523">
        <v>0.9</v>
      </c>
      <c r="AI220" s="523"/>
      <c r="AJ220" s="523"/>
      <c r="AK220" s="523">
        <v>0.94</v>
      </c>
      <c r="AL220" s="523">
        <v>0.94</v>
      </c>
      <c r="AM220" s="523"/>
      <c r="AN220" s="523"/>
      <c r="AO220" s="523"/>
      <c r="AP220" s="523"/>
      <c r="AQ220" s="549"/>
    </row>
    <row r="221" spans="1:43" ht="12.75">
      <c r="A221" s="522" t="s">
        <v>165</v>
      </c>
      <c r="B221" s="523"/>
      <c r="C221" s="523"/>
      <c r="D221" s="523"/>
      <c r="E221" s="523"/>
      <c r="F221" s="523"/>
      <c r="G221" s="523"/>
      <c r="H221" s="523"/>
      <c r="I221" s="523"/>
      <c r="J221" s="523"/>
      <c r="K221" s="523"/>
      <c r="L221" s="523"/>
      <c r="M221" s="523"/>
      <c r="N221" s="523"/>
      <c r="O221" s="523"/>
      <c r="P221" s="523"/>
      <c r="Q221" s="523"/>
      <c r="R221" s="523">
        <v>0.79</v>
      </c>
      <c r="S221" s="523">
        <v>0.88</v>
      </c>
      <c r="T221" s="523"/>
      <c r="U221" s="523">
        <v>1</v>
      </c>
      <c r="V221" s="523"/>
      <c r="W221" s="523"/>
      <c r="X221" s="523"/>
      <c r="Y221" s="523"/>
      <c r="Z221" s="523"/>
      <c r="AA221" s="523"/>
      <c r="AB221" s="523"/>
      <c r="AC221" s="523"/>
      <c r="AD221" s="523"/>
      <c r="AE221" s="523"/>
      <c r="AF221" s="523"/>
      <c r="AG221" s="523"/>
      <c r="AH221" s="523"/>
      <c r="AI221" s="523"/>
      <c r="AJ221" s="523"/>
      <c r="AK221" s="523"/>
      <c r="AL221" s="523"/>
      <c r="AM221" s="523"/>
      <c r="AN221" s="523"/>
      <c r="AO221" s="523"/>
      <c r="AP221" s="523"/>
      <c r="AQ221" s="549"/>
    </row>
    <row r="222" spans="1:43" ht="12.75">
      <c r="A222" s="522" t="s">
        <v>166</v>
      </c>
      <c r="B222" s="523">
        <v>0.85</v>
      </c>
      <c r="C222" s="523">
        <v>0.85</v>
      </c>
      <c r="D222" s="523"/>
      <c r="E222" s="523"/>
      <c r="F222" s="523">
        <v>0.85</v>
      </c>
      <c r="G222" s="523">
        <v>0.85</v>
      </c>
      <c r="H222" s="523"/>
      <c r="I222" s="523"/>
      <c r="J222" s="523">
        <v>0.85</v>
      </c>
      <c r="K222" s="523">
        <v>0.85</v>
      </c>
      <c r="L222" s="523"/>
      <c r="M222" s="523"/>
      <c r="N222" s="523"/>
      <c r="O222" s="523"/>
      <c r="P222" s="523"/>
      <c r="Q222" s="523">
        <v>1</v>
      </c>
      <c r="R222" s="523">
        <v>0.79</v>
      </c>
      <c r="S222" s="523"/>
      <c r="T222" s="523">
        <v>0.88</v>
      </c>
      <c r="U222" s="523"/>
      <c r="V222" s="523">
        <v>0.88</v>
      </c>
      <c r="W222" s="523"/>
      <c r="X222" s="523"/>
      <c r="Y222" s="523"/>
      <c r="Z222" s="523"/>
      <c r="AA222" s="523">
        <v>1</v>
      </c>
      <c r="AB222" s="523"/>
      <c r="AC222" s="523">
        <v>0.9</v>
      </c>
      <c r="AD222" s="523">
        <v>0.9</v>
      </c>
      <c r="AE222" s="523"/>
      <c r="AF222" s="523"/>
      <c r="AG222" s="523">
        <v>0.94</v>
      </c>
      <c r="AH222" s="523">
        <v>0.9</v>
      </c>
      <c r="AI222" s="523"/>
      <c r="AJ222" s="523"/>
      <c r="AK222" s="523">
        <v>0.9</v>
      </c>
      <c r="AL222" s="523">
        <v>0.94</v>
      </c>
      <c r="AM222" s="523"/>
      <c r="AN222" s="523"/>
      <c r="AO222" s="523"/>
      <c r="AP222" s="523"/>
      <c r="AQ222" s="549"/>
    </row>
    <row r="223" spans="1:43" ht="12.75">
      <c r="A223" s="522" t="s">
        <v>167</v>
      </c>
      <c r="B223" s="523"/>
      <c r="C223" s="523"/>
      <c r="D223" s="523"/>
      <c r="E223" s="523"/>
      <c r="F223" s="523"/>
      <c r="G223" s="523"/>
      <c r="H223" s="523"/>
      <c r="I223" s="523"/>
      <c r="J223" s="523"/>
      <c r="K223" s="523"/>
      <c r="L223" s="523"/>
      <c r="M223" s="523"/>
      <c r="N223" s="523"/>
      <c r="O223" s="523"/>
      <c r="P223" s="523"/>
      <c r="Q223" s="523"/>
      <c r="R223" s="523">
        <v>0.75</v>
      </c>
      <c r="S223" s="523">
        <v>0.88</v>
      </c>
      <c r="T223" s="523"/>
      <c r="U223" s="523">
        <v>0.33</v>
      </c>
      <c r="V223" s="523"/>
      <c r="W223" s="523"/>
      <c r="X223" s="523"/>
      <c r="Y223" s="523"/>
      <c r="Z223" s="523"/>
      <c r="AA223" s="523"/>
      <c r="AB223" s="523"/>
      <c r="AC223" s="523"/>
      <c r="AD223" s="523"/>
      <c r="AE223" s="523"/>
      <c r="AF223" s="523"/>
      <c r="AG223" s="523"/>
      <c r="AH223" s="523"/>
      <c r="AI223" s="523"/>
      <c r="AJ223" s="523"/>
      <c r="AK223" s="523"/>
      <c r="AL223" s="523"/>
      <c r="AM223" s="523"/>
      <c r="AN223" s="523"/>
      <c r="AO223" s="523"/>
      <c r="AP223" s="523"/>
      <c r="AQ223" s="549"/>
    </row>
    <row r="224" spans="1:43" ht="12.75">
      <c r="A224" s="522" t="s">
        <v>168</v>
      </c>
      <c r="B224" s="523">
        <v>0.85</v>
      </c>
      <c r="C224" s="523">
        <v>0.85</v>
      </c>
      <c r="D224" s="523"/>
      <c r="E224" s="523"/>
      <c r="F224" s="523">
        <v>0.85</v>
      </c>
      <c r="G224" s="523">
        <v>0.85</v>
      </c>
      <c r="H224" s="523"/>
      <c r="I224" s="523"/>
      <c r="J224" s="523">
        <v>0.85</v>
      </c>
      <c r="K224" s="523">
        <v>0.85</v>
      </c>
      <c r="L224" s="523"/>
      <c r="M224" s="523"/>
      <c r="N224" s="523"/>
      <c r="O224" s="523"/>
      <c r="P224" s="523"/>
      <c r="Q224" s="523">
        <v>1</v>
      </c>
      <c r="R224" s="523">
        <v>0.79</v>
      </c>
      <c r="S224" s="523"/>
      <c r="T224" s="523">
        <v>0.88</v>
      </c>
      <c r="U224" s="523"/>
      <c r="V224" s="523">
        <v>0.88</v>
      </c>
      <c r="W224" s="523"/>
      <c r="X224" s="523"/>
      <c r="Y224" s="523"/>
      <c r="Z224" s="523"/>
      <c r="AA224" s="523">
        <v>0.73</v>
      </c>
      <c r="AB224" s="523"/>
      <c r="AC224" s="523">
        <v>0.9</v>
      </c>
      <c r="AD224" s="523">
        <v>0.9</v>
      </c>
      <c r="AE224" s="523"/>
      <c r="AF224" s="523"/>
      <c r="AG224" s="523">
        <v>0.94</v>
      </c>
      <c r="AH224" s="523">
        <v>0.9</v>
      </c>
      <c r="AI224" s="523"/>
      <c r="AJ224" s="523"/>
      <c r="AK224" s="523">
        <v>0.94</v>
      </c>
      <c r="AL224" s="523">
        <v>0.9</v>
      </c>
      <c r="AM224" s="523"/>
      <c r="AN224" s="523"/>
      <c r="AO224" s="523"/>
      <c r="AP224" s="523"/>
      <c r="AQ224" s="549"/>
    </row>
    <row r="225" spans="1:42" s="536" customFormat="1" ht="12.75">
      <c r="A225" s="548" t="s">
        <v>169</v>
      </c>
      <c r="B225" s="548">
        <v>1</v>
      </c>
      <c r="C225" s="548">
        <v>1</v>
      </c>
      <c r="D225" s="548"/>
      <c r="E225" s="548"/>
      <c r="F225" s="548">
        <v>1</v>
      </c>
      <c r="G225" s="548">
        <v>1</v>
      </c>
      <c r="H225" s="548"/>
      <c r="I225" s="548"/>
      <c r="J225" s="548">
        <v>1</v>
      </c>
      <c r="K225" s="548">
        <v>1</v>
      </c>
      <c r="L225" s="548"/>
      <c r="M225" s="548"/>
      <c r="N225" s="548"/>
      <c r="O225" s="548"/>
      <c r="P225" s="548"/>
      <c r="Q225" s="548">
        <v>1</v>
      </c>
      <c r="R225" s="548">
        <v>0.93</v>
      </c>
      <c r="S225" s="548"/>
      <c r="T225" s="548">
        <v>0.93</v>
      </c>
      <c r="U225" s="548"/>
      <c r="V225" s="548">
        <v>1</v>
      </c>
      <c r="W225" s="548"/>
      <c r="X225" s="548"/>
      <c r="Y225" s="548"/>
      <c r="Z225" s="548"/>
      <c r="AA225" s="548">
        <v>0.92</v>
      </c>
      <c r="AB225" s="548"/>
      <c r="AC225" s="548">
        <v>1</v>
      </c>
      <c r="AD225" s="548">
        <v>1</v>
      </c>
      <c r="AE225" s="548"/>
      <c r="AF225" s="548"/>
      <c r="AG225" s="548">
        <v>1</v>
      </c>
      <c r="AH225" s="548">
        <v>1</v>
      </c>
      <c r="AI225" s="548"/>
      <c r="AJ225" s="548"/>
      <c r="AK225" s="548">
        <v>1</v>
      </c>
      <c r="AL225" s="548">
        <v>1</v>
      </c>
      <c r="AM225" s="548"/>
      <c r="AN225" s="548"/>
      <c r="AO225" s="548"/>
      <c r="AP225" s="548"/>
    </row>
    <row r="226" spans="1:42" ht="12.75">
      <c r="A226" s="523" t="s">
        <v>170</v>
      </c>
      <c r="B226" s="523">
        <v>1</v>
      </c>
      <c r="C226" s="523">
        <v>1</v>
      </c>
      <c r="D226" s="523"/>
      <c r="E226" s="523"/>
      <c r="F226" s="523">
        <v>1</v>
      </c>
      <c r="G226" s="523">
        <v>1</v>
      </c>
      <c r="H226" s="523"/>
      <c r="I226" s="523"/>
      <c r="J226" s="523">
        <v>1</v>
      </c>
      <c r="K226" s="523">
        <v>1</v>
      </c>
      <c r="L226" s="523"/>
      <c r="M226" s="523"/>
      <c r="N226" s="523"/>
      <c r="O226" s="523"/>
      <c r="P226" s="523"/>
      <c r="Q226" s="523">
        <v>1</v>
      </c>
      <c r="R226" s="523">
        <v>0.93</v>
      </c>
      <c r="S226" s="523"/>
      <c r="T226" s="523">
        <v>0.93</v>
      </c>
      <c r="U226" s="523"/>
      <c r="V226" s="523">
        <v>1</v>
      </c>
      <c r="W226" s="523"/>
      <c r="X226" s="523"/>
      <c r="Y226" s="523"/>
      <c r="Z226" s="523"/>
      <c r="AA226" s="523">
        <v>0.92</v>
      </c>
      <c r="AB226" s="523"/>
      <c r="AC226" s="523">
        <v>1</v>
      </c>
      <c r="AD226" s="523">
        <v>1</v>
      </c>
      <c r="AE226" s="523"/>
      <c r="AF226" s="523"/>
      <c r="AG226" s="523">
        <v>1</v>
      </c>
      <c r="AH226" s="523">
        <v>1</v>
      </c>
      <c r="AI226" s="523"/>
      <c r="AJ226" s="523"/>
      <c r="AK226" s="523">
        <v>1</v>
      </c>
      <c r="AL226" s="523">
        <v>1</v>
      </c>
      <c r="AM226" s="523"/>
      <c r="AN226" s="523"/>
      <c r="AO226" s="523"/>
      <c r="AP226" s="523"/>
    </row>
    <row r="227" spans="1:42" ht="12.75">
      <c r="A227" s="523" t="s">
        <v>171</v>
      </c>
      <c r="B227" s="523">
        <v>1</v>
      </c>
      <c r="C227" s="523">
        <v>1</v>
      </c>
      <c r="D227" s="523"/>
      <c r="E227" s="523"/>
      <c r="F227" s="523">
        <v>1</v>
      </c>
      <c r="G227" s="523">
        <v>1</v>
      </c>
      <c r="H227" s="523"/>
      <c r="I227" s="523"/>
      <c r="J227" s="523">
        <v>1</v>
      </c>
      <c r="K227" s="523">
        <v>1</v>
      </c>
      <c r="L227" s="523"/>
      <c r="M227" s="523"/>
      <c r="N227" s="523"/>
      <c r="O227" s="523"/>
      <c r="P227" s="523"/>
      <c r="Q227" s="523">
        <v>1</v>
      </c>
      <c r="R227" s="523">
        <v>0.93</v>
      </c>
      <c r="S227" s="523"/>
      <c r="T227" s="523">
        <v>0.93</v>
      </c>
      <c r="U227" s="523"/>
      <c r="V227" s="523">
        <v>1</v>
      </c>
      <c r="W227" s="523"/>
      <c r="X227" s="523"/>
      <c r="Y227" s="523"/>
      <c r="Z227" s="523"/>
      <c r="AA227" s="523">
        <v>0.92</v>
      </c>
      <c r="AB227" s="523"/>
      <c r="AC227" s="523">
        <v>1</v>
      </c>
      <c r="AD227" s="523">
        <v>1</v>
      </c>
      <c r="AE227" s="523"/>
      <c r="AF227" s="523"/>
      <c r="AG227" s="523">
        <v>1</v>
      </c>
      <c r="AH227" s="523">
        <v>1</v>
      </c>
      <c r="AI227" s="523"/>
      <c r="AJ227" s="523"/>
      <c r="AK227" s="523">
        <v>1</v>
      </c>
      <c r="AL227" s="523">
        <v>1</v>
      </c>
      <c r="AM227" s="523"/>
      <c r="AN227" s="523"/>
      <c r="AO227" s="523"/>
      <c r="AP227" s="523"/>
    </row>
    <row r="228" spans="1:42" ht="12.75">
      <c r="A228" s="523" t="s">
        <v>172</v>
      </c>
      <c r="B228" s="523">
        <v>1</v>
      </c>
      <c r="C228" s="523">
        <v>1</v>
      </c>
      <c r="D228" s="523"/>
      <c r="E228" s="523"/>
      <c r="F228" s="523">
        <v>1</v>
      </c>
      <c r="G228" s="523">
        <v>1</v>
      </c>
      <c r="H228" s="523"/>
      <c r="I228" s="523"/>
      <c r="J228" s="523">
        <v>1</v>
      </c>
      <c r="K228" s="523">
        <v>1</v>
      </c>
      <c r="L228" s="523"/>
      <c r="M228" s="523"/>
      <c r="N228" s="523"/>
      <c r="O228" s="523"/>
      <c r="P228" s="523"/>
      <c r="Q228" s="523">
        <v>1</v>
      </c>
      <c r="R228" s="523">
        <v>0.93</v>
      </c>
      <c r="S228" s="523"/>
      <c r="T228" s="523">
        <v>0.89</v>
      </c>
      <c r="U228" s="523"/>
      <c r="V228" s="523">
        <v>1</v>
      </c>
      <c r="W228" s="523"/>
      <c r="X228" s="523"/>
      <c r="Y228" s="523"/>
      <c r="Z228" s="523"/>
      <c r="AA228" s="523">
        <v>0.92</v>
      </c>
      <c r="AB228" s="523"/>
      <c r="AC228" s="523">
        <v>1</v>
      </c>
      <c r="AD228" s="523">
        <v>1</v>
      </c>
      <c r="AE228" s="523"/>
      <c r="AF228" s="523"/>
      <c r="AG228" s="523">
        <v>1</v>
      </c>
      <c r="AH228" s="523">
        <v>1</v>
      </c>
      <c r="AI228" s="523"/>
      <c r="AJ228" s="523"/>
      <c r="AK228" s="523">
        <v>1</v>
      </c>
      <c r="AL228" s="523">
        <v>1</v>
      </c>
      <c r="AM228" s="523"/>
      <c r="AN228" s="523"/>
      <c r="AO228" s="523"/>
      <c r="AP228" s="523"/>
    </row>
    <row r="229" spans="1:42" ht="12.75">
      <c r="A229" s="523" t="s">
        <v>173</v>
      </c>
      <c r="B229" s="523">
        <v>1</v>
      </c>
      <c r="C229" s="523">
        <v>1</v>
      </c>
      <c r="D229" s="523"/>
      <c r="E229" s="523"/>
      <c r="F229" s="523">
        <v>1</v>
      </c>
      <c r="G229" s="523">
        <v>1</v>
      </c>
      <c r="H229" s="523"/>
      <c r="I229" s="523"/>
      <c r="J229" s="523">
        <v>1</v>
      </c>
      <c r="K229" s="523">
        <v>1</v>
      </c>
      <c r="L229" s="523"/>
      <c r="M229" s="523"/>
      <c r="N229" s="523"/>
      <c r="O229" s="523"/>
      <c r="P229" s="523"/>
      <c r="Q229" s="523">
        <v>1</v>
      </c>
      <c r="R229" s="523">
        <v>0.93</v>
      </c>
      <c r="S229" s="523"/>
      <c r="T229" s="523">
        <v>0.93</v>
      </c>
      <c r="U229" s="523"/>
      <c r="V229" s="523">
        <v>1</v>
      </c>
      <c r="W229" s="523"/>
      <c r="X229" s="523"/>
      <c r="Y229" s="523"/>
      <c r="Z229" s="523"/>
      <c r="AA229" s="523">
        <v>0.92</v>
      </c>
      <c r="AB229" s="523"/>
      <c r="AC229" s="523">
        <v>1</v>
      </c>
      <c r="AD229" s="523">
        <v>1</v>
      </c>
      <c r="AE229" s="523"/>
      <c r="AF229" s="523"/>
      <c r="AG229" s="523">
        <v>1</v>
      </c>
      <c r="AH229" s="523">
        <v>1</v>
      </c>
      <c r="AI229" s="523"/>
      <c r="AJ229" s="523"/>
      <c r="AK229" s="523">
        <v>1</v>
      </c>
      <c r="AL229" s="523">
        <v>1</v>
      </c>
      <c r="AM229" s="523"/>
      <c r="AN229" s="523"/>
      <c r="AO229" s="523"/>
      <c r="AP229" s="523"/>
    </row>
    <row r="230" spans="1:42" ht="12.75">
      <c r="A230" s="523" t="s">
        <v>174</v>
      </c>
      <c r="B230" s="523">
        <v>1</v>
      </c>
      <c r="C230" s="523">
        <v>1</v>
      </c>
      <c r="D230" s="523"/>
      <c r="E230" s="523"/>
      <c r="F230" s="523">
        <v>1</v>
      </c>
      <c r="G230" s="523">
        <v>1</v>
      </c>
      <c r="H230" s="523"/>
      <c r="I230" s="523"/>
      <c r="J230" s="523">
        <v>1</v>
      </c>
      <c r="K230" s="523">
        <v>1</v>
      </c>
      <c r="L230" s="523"/>
      <c r="M230" s="523"/>
      <c r="N230" s="523"/>
      <c r="O230" s="523"/>
      <c r="P230" s="523"/>
      <c r="Q230" s="523">
        <v>1</v>
      </c>
      <c r="R230" s="523">
        <v>0.93</v>
      </c>
      <c r="S230" s="523"/>
      <c r="T230" s="523">
        <v>0.89</v>
      </c>
      <c r="U230" s="523"/>
      <c r="V230" s="523">
        <v>1</v>
      </c>
      <c r="W230" s="523"/>
      <c r="X230" s="523"/>
      <c r="Y230" s="523"/>
      <c r="Z230" s="523"/>
      <c r="AA230" s="523">
        <v>0.92</v>
      </c>
      <c r="AB230" s="523"/>
      <c r="AC230" s="523">
        <v>1</v>
      </c>
      <c r="AD230" s="523">
        <v>1</v>
      </c>
      <c r="AE230" s="523"/>
      <c r="AF230" s="523"/>
      <c r="AG230" s="523">
        <v>1</v>
      </c>
      <c r="AH230" s="523">
        <v>1</v>
      </c>
      <c r="AI230" s="523"/>
      <c r="AJ230" s="523"/>
      <c r="AK230" s="523">
        <v>1</v>
      </c>
      <c r="AL230" s="523">
        <v>1</v>
      </c>
      <c r="AM230" s="523"/>
      <c r="AN230" s="523"/>
      <c r="AO230" s="523"/>
      <c r="AP230" s="523"/>
    </row>
    <row r="231" spans="1:42" ht="12.75">
      <c r="A231" s="523" t="s">
        <v>175</v>
      </c>
      <c r="B231" s="523">
        <v>1</v>
      </c>
      <c r="C231" s="523">
        <v>1</v>
      </c>
      <c r="D231" s="523"/>
      <c r="E231" s="523"/>
      <c r="F231" s="523">
        <v>1</v>
      </c>
      <c r="G231" s="523">
        <v>1</v>
      </c>
      <c r="H231" s="523"/>
      <c r="I231" s="523"/>
      <c r="J231" s="523">
        <v>1</v>
      </c>
      <c r="K231" s="523">
        <v>1</v>
      </c>
      <c r="L231" s="523"/>
      <c r="M231" s="523"/>
      <c r="N231" s="523"/>
      <c r="O231" s="523"/>
      <c r="P231" s="523"/>
      <c r="Q231" s="523">
        <v>1</v>
      </c>
      <c r="R231" s="523">
        <v>0.93</v>
      </c>
      <c r="S231" s="523"/>
      <c r="T231" s="523">
        <v>0.93</v>
      </c>
      <c r="U231" s="523"/>
      <c r="V231" s="523">
        <v>1</v>
      </c>
      <c r="W231" s="523"/>
      <c r="X231" s="523"/>
      <c r="Y231" s="523"/>
      <c r="Z231" s="523"/>
      <c r="AA231" s="523">
        <v>0.92</v>
      </c>
      <c r="AB231" s="523"/>
      <c r="AC231" s="523">
        <v>1</v>
      </c>
      <c r="AD231" s="523">
        <v>1</v>
      </c>
      <c r="AE231" s="523"/>
      <c r="AF231" s="523"/>
      <c r="AG231" s="523">
        <v>1</v>
      </c>
      <c r="AH231" s="523">
        <v>1</v>
      </c>
      <c r="AI231" s="523"/>
      <c r="AJ231" s="523"/>
      <c r="AK231" s="523">
        <v>1</v>
      </c>
      <c r="AL231" s="523">
        <v>1</v>
      </c>
      <c r="AM231" s="523"/>
      <c r="AN231" s="523"/>
      <c r="AO231" s="523"/>
      <c r="AP231" s="523"/>
    </row>
    <row r="232" spans="1:42" ht="12.75">
      <c r="A232" s="523" t="s">
        <v>176</v>
      </c>
      <c r="B232" s="523">
        <v>1</v>
      </c>
      <c r="C232" s="523">
        <v>1</v>
      </c>
      <c r="D232" s="523"/>
      <c r="E232" s="523"/>
      <c r="F232" s="523">
        <v>1</v>
      </c>
      <c r="G232" s="523">
        <v>1</v>
      </c>
      <c r="H232" s="523"/>
      <c r="I232" s="523"/>
      <c r="J232" s="523">
        <v>1</v>
      </c>
      <c r="K232" s="523">
        <v>1</v>
      </c>
      <c r="L232" s="523"/>
      <c r="M232" s="523"/>
      <c r="N232" s="523"/>
      <c r="O232" s="523"/>
      <c r="P232" s="523"/>
      <c r="Q232" s="523">
        <v>1</v>
      </c>
      <c r="R232" s="523">
        <v>0.93</v>
      </c>
      <c r="S232" s="523"/>
      <c r="T232" s="523">
        <v>0.93</v>
      </c>
      <c r="U232" s="523"/>
      <c r="V232" s="523">
        <v>1</v>
      </c>
      <c r="W232" s="523"/>
      <c r="X232" s="523"/>
      <c r="Y232" s="523"/>
      <c r="Z232" s="523"/>
      <c r="AA232" s="523">
        <v>0.92</v>
      </c>
      <c r="AB232" s="523"/>
      <c r="AC232" s="523">
        <v>1</v>
      </c>
      <c r="AD232" s="523">
        <v>1</v>
      </c>
      <c r="AE232" s="523"/>
      <c r="AF232" s="523"/>
      <c r="AG232" s="523">
        <v>1</v>
      </c>
      <c r="AH232" s="523">
        <v>1</v>
      </c>
      <c r="AI232" s="523"/>
      <c r="AJ232" s="523"/>
      <c r="AK232" s="523">
        <v>1</v>
      </c>
      <c r="AL232" s="523">
        <v>1</v>
      </c>
      <c r="AM232" s="523"/>
      <c r="AN232" s="523"/>
      <c r="AO232" s="523"/>
      <c r="AP232" s="523"/>
    </row>
    <row r="233" spans="1:42" ht="12.75">
      <c r="A233" s="523" t="s">
        <v>177</v>
      </c>
      <c r="B233" s="523">
        <v>1</v>
      </c>
      <c r="C233" s="523">
        <v>1</v>
      </c>
      <c r="D233" s="523"/>
      <c r="E233" s="523"/>
      <c r="F233" s="523">
        <v>1</v>
      </c>
      <c r="G233" s="523">
        <v>1</v>
      </c>
      <c r="H233" s="523"/>
      <c r="I233" s="523"/>
      <c r="J233" s="523">
        <v>1</v>
      </c>
      <c r="K233" s="523">
        <v>1</v>
      </c>
      <c r="L233" s="523"/>
      <c r="M233" s="523"/>
      <c r="N233" s="523"/>
      <c r="O233" s="523"/>
      <c r="P233" s="523"/>
      <c r="Q233" s="523">
        <v>1</v>
      </c>
      <c r="R233" s="523">
        <v>0.93</v>
      </c>
      <c r="S233" s="523"/>
      <c r="T233" s="523">
        <v>0.89</v>
      </c>
      <c r="U233" s="523"/>
      <c r="V233" s="523">
        <v>1</v>
      </c>
      <c r="W233" s="523"/>
      <c r="X233" s="523"/>
      <c r="Y233" s="523"/>
      <c r="Z233" s="523"/>
      <c r="AA233" s="523">
        <v>0.93</v>
      </c>
      <c r="AB233" s="523"/>
      <c r="AC233" s="523">
        <v>1</v>
      </c>
      <c r="AD233" s="523">
        <v>1</v>
      </c>
      <c r="AE233" s="523"/>
      <c r="AF233" s="523"/>
      <c r="AG233" s="523">
        <v>1</v>
      </c>
      <c r="AH233" s="523">
        <v>1</v>
      </c>
      <c r="AI233" s="523"/>
      <c r="AJ233" s="523"/>
      <c r="AK233" s="523">
        <v>1</v>
      </c>
      <c r="AL233" s="523">
        <v>1</v>
      </c>
      <c r="AM233" s="523"/>
      <c r="AN233" s="523"/>
      <c r="AO233" s="523"/>
      <c r="AP233" s="523"/>
    </row>
    <row r="234" spans="1:42" ht="12.75">
      <c r="A234" s="523" t="s">
        <v>178</v>
      </c>
      <c r="B234" s="523">
        <v>1</v>
      </c>
      <c r="C234" s="523">
        <v>1</v>
      </c>
      <c r="D234" s="523"/>
      <c r="E234" s="523"/>
      <c r="F234" s="523">
        <v>1</v>
      </c>
      <c r="G234" s="523">
        <v>1</v>
      </c>
      <c r="H234" s="523"/>
      <c r="I234" s="523"/>
      <c r="J234" s="523">
        <v>1</v>
      </c>
      <c r="K234" s="523">
        <v>1</v>
      </c>
      <c r="L234" s="523"/>
      <c r="M234" s="523"/>
      <c r="N234" s="523"/>
      <c r="O234" s="523"/>
      <c r="P234" s="523"/>
      <c r="Q234" s="523">
        <v>1</v>
      </c>
      <c r="R234" s="523">
        <v>0.93</v>
      </c>
      <c r="S234" s="523"/>
      <c r="T234" s="523">
        <v>0.93</v>
      </c>
      <c r="U234" s="523"/>
      <c r="V234" s="523">
        <v>1</v>
      </c>
      <c r="W234" s="523"/>
      <c r="X234" s="523"/>
      <c r="Y234" s="523"/>
      <c r="Z234" s="523"/>
      <c r="AA234" s="523">
        <v>0.92</v>
      </c>
      <c r="AB234" s="523"/>
      <c r="AC234" s="523">
        <v>1</v>
      </c>
      <c r="AD234" s="523">
        <v>1</v>
      </c>
      <c r="AE234" s="523"/>
      <c r="AF234" s="523"/>
      <c r="AG234" s="523">
        <v>1</v>
      </c>
      <c r="AH234" s="523">
        <v>1</v>
      </c>
      <c r="AI234" s="523"/>
      <c r="AJ234" s="523"/>
      <c r="AK234" s="523">
        <v>1</v>
      </c>
      <c r="AL234" s="523">
        <v>1</v>
      </c>
      <c r="AM234" s="523"/>
      <c r="AN234" s="523"/>
      <c r="AO234" s="523"/>
      <c r="AP234" s="523"/>
    </row>
    <row r="235" spans="1:42" ht="12.75">
      <c r="A235" s="523" t="s">
        <v>179</v>
      </c>
      <c r="B235" s="523">
        <v>1</v>
      </c>
      <c r="C235" s="523">
        <v>1</v>
      </c>
      <c r="D235" s="523"/>
      <c r="E235" s="523"/>
      <c r="F235" s="523">
        <v>1</v>
      </c>
      <c r="G235" s="523">
        <v>1</v>
      </c>
      <c r="H235" s="523"/>
      <c r="I235" s="523"/>
      <c r="J235" s="523">
        <v>1</v>
      </c>
      <c r="K235" s="523">
        <v>1</v>
      </c>
      <c r="L235" s="523"/>
      <c r="M235" s="523"/>
      <c r="N235" s="523"/>
      <c r="O235" s="523"/>
      <c r="P235" s="523"/>
      <c r="Q235" s="523">
        <v>1</v>
      </c>
      <c r="R235" s="523">
        <v>0.93</v>
      </c>
      <c r="S235" s="523"/>
      <c r="T235" s="523">
        <v>0.93</v>
      </c>
      <c r="U235" s="523"/>
      <c r="V235" s="523">
        <v>1</v>
      </c>
      <c r="W235" s="523"/>
      <c r="X235" s="523"/>
      <c r="Y235" s="523"/>
      <c r="Z235" s="523"/>
      <c r="AA235" s="523">
        <v>0.92</v>
      </c>
      <c r="AB235" s="523"/>
      <c r="AC235" s="523">
        <v>1</v>
      </c>
      <c r="AD235" s="523">
        <v>1</v>
      </c>
      <c r="AE235" s="523"/>
      <c r="AF235" s="523"/>
      <c r="AG235" s="523">
        <v>1</v>
      </c>
      <c r="AH235" s="523">
        <v>1</v>
      </c>
      <c r="AI235" s="523"/>
      <c r="AJ235" s="523"/>
      <c r="AK235" s="523">
        <v>1</v>
      </c>
      <c r="AL235" s="523">
        <v>1</v>
      </c>
      <c r="AM235" s="523"/>
      <c r="AN235" s="523"/>
      <c r="AO235" s="523"/>
      <c r="AP235" s="523"/>
    </row>
    <row r="236" spans="1:42" ht="12.75">
      <c r="A236" s="523" t="s">
        <v>180</v>
      </c>
      <c r="B236" s="523">
        <v>1</v>
      </c>
      <c r="C236" s="523">
        <v>1</v>
      </c>
      <c r="D236" s="523"/>
      <c r="E236" s="523"/>
      <c r="F236" s="523">
        <v>1</v>
      </c>
      <c r="G236" s="523">
        <v>1</v>
      </c>
      <c r="H236" s="523"/>
      <c r="I236" s="523"/>
      <c r="J236" s="523">
        <v>1</v>
      </c>
      <c r="K236" s="523">
        <v>1</v>
      </c>
      <c r="L236" s="523"/>
      <c r="M236" s="523"/>
      <c r="N236" s="523"/>
      <c r="O236" s="523"/>
      <c r="P236" s="523"/>
      <c r="Q236" s="523">
        <v>1</v>
      </c>
      <c r="R236" s="523">
        <v>0.93</v>
      </c>
      <c r="S236" s="523"/>
      <c r="T236" s="523">
        <v>0.89</v>
      </c>
      <c r="U236" s="523"/>
      <c r="V236" s="523">
        <v>1</v>
      </c>
      <c r="W236" s="523"/>
      <c r="X236" s="523"/>
      <c r="Y236" s="523"/>
      <c r="Z236" s="523"/>
      <c r="AA236" s="523">
        <v>0.93</v>
      </c>
      <c r="AB236" s="523"/>
      <c r="AC236" s="523">
        <v>1</v>
      </c>
      <c r="AD236" s="523">
        <v>1</v>
      </c>
      <c r="AE236" s="523"/>
      <c r="AF236" s="523"/>
      <c r="AG236" s="523">
        <v>1</v>
      </c>
      <c r="AH236" s="523">
        <v>1</v>
      </c>
      <c r="AI236" s="523"/>
      <c r="AJ236" s="523"/>
      <c r="AK236" s="523">
        <v>1</v>
      </c>
      <c r="AL236" s="523">
        <v>1</v>
      </c>
      <c r="AM236" s="523"/>
      <c r="AN236" s="523"/>
      <c r="AO236" s="523"/>
      <c r="AP236" s="523"/>
    </row>
    <row r="237" spans="1:42" ht="12.75">
      <c r="A237" s="523" t="s">
        <v>181</v>
      </c>
      <c r="B237" s="523">
        <v>1</v>
      </c>
      <c r="C237" s="523">
        <v>1</v>
      </c>
      <c r="D237" s="523"/>
      <c r="E237" s="523"/>
      <c r="F237" s="523">
        <v>1</v>
      </c>
      <c r="G237" s="523">
        <v>1</v>
      </c>
      <c r="H237" s="523"/>
      <c r="I237" s="523"/>
      <c r="J237" s="523">
        <v>1</v>
      </c>
      <c r="K237" s="523">
        <v>1</v>
      </c>
      <c r="L237" s="523"/>
      <c r="M237" s="523"/>
      <c r="N237" s="523"/>
      <c r="O237" s="523"/>
      <c r="P237" s="523"/>
      <c r="Q237" s="523">
        <v>1</v>
      </c>
      <c r="R237" s="523">
        <v>0.93</v>
      </c>
      <c r="S237" s="523"/>
      <c r="T237" s="523">
        <v>0.93</v>
      </c>
      <c r="U237" s="523"/>
      <c r="V237" s="523">
        <v>1</v>
      </c>
      <c r="W237" s="523"/>
      <c r="X237" s="523"/>
      <c r="Y237" s="523"/>
      <c r="Z237" s="523"/>
      <c r="AA237" s="523">
        <v>0.92</v>
      </c>
      <c r="AB237" s="523"/>
      <c r="AC237" s="523">
        <v>1</v>
      </c>
      <c r="AD237" s="523">
        <v>1</v>
      </c>
      <c r="AE237" s="523"/>
      <c r="AF237" s="523"/>
      <c r="AG237" s="523">
        <v>1</v>
      </c>
      <c r="AH237" s="523">
        <v>1</v>
      </c>
      <c r="AI237" s="523"/>
      <c r="AJ237" s="523"/>
      <c r="AK237" s="523">
        <v>1</v>
      </c>
      <c r="AL237" s="523">
        <v>1</v>
      </c>
      <c r="AM237" s="523"/>
      <c r="AN237" s="523"/>
      <c r="AO237" s="523"/>
      <c r="AP237" s="523"/>
    </row>
    <row r="238" spans="1:42" ht="12.75">
      <c r="A238" s="523" t="s">
        <v>182</v>
      </c>
      <c r="B238" s="523">
        <v>1</v>
      </c>
      <c r="C238" s="523">
        <v>1</v>
      </c>
      <c r="D238" s="523"/>
      <c r="E238" s="523"/>
      <c r="F238" s="523">
        <v>1</v>
      </c>
      <c r="G238" s="523">
        <v>1</v>
      </c>
      <c r="H238" s="523"/>
      <c r="I238" s="523"/>
      <c r="J238" s="523">
        <v>1</v>
      </c>
      <c r="K238" s="523">
        <v>1</v>
      </c>
      <c r="L238" s="523"/>
      <c r="M238" s="523"/>
      <c r="N238" s="523"/>
      <c r="O238" s="523"/>
      <c r="P238" s="523"/>
      <c r="Q238" s="523">
        <v>1</v>
      </c>
      <c r="R238" s="523">
        <v>0.93</v>
      </c>
      <c r="S238" s="523"/>
      <c r="T238" s="523">
        <v>0.93</v>
      </c>
      <c r="U238" s="523"/>
      <c r="V238" s="523">
        <v>1</v>
      </c>
      <c r="W238" s="523"/>
      <c r="X238" s="523"/>
      <c r="Y238" s="523"/>
      <c r="Z238" s="523"/>
      <c r="AA238" s="523">
        <v>0.92</v>
      </c>
      <c r="AB238" s="523"/>
      <c r="AC238" s="523">
        <v>1</v>
      </c>
      <c r="AD238" s="523">
        <v>1</v>
      </c>
      <c r="AE238" s="523"/>
      <c r="AF238" s="523"/>
      <c r="AG238" s="523">
        <v>1</v>
      </c>
      <c r="AH238" s="523">
        <v>1</v>
      </c>
      <c r="AI238" s="523"/>
      <c r="AJ238" s="523"/>
      <c r="AK238" s="523">
        <v>1</v>
      </c>
      <c r="AL238" s="523">
        <v>1</v>
      </c>
      <c r="AM238" s="523"/>
      <c r="AN238" s="523"/>
      <c r="AO238" s="523"/>
      <c r="AP238" s="523"/>
    </row>
    <row r="239" spans="1:42" ht="12.75">
      <c r="A239" s="523" t="s">
        <v>183</v>
      </c>
      <c r="B239" s="523">
        <v>1</v>
      </c>
      <c r="C239" s="523">
        <v>1</v>
      </c>
      <c r="D239" s="523"/>
      <c r="E239" s="523"/>
      <c r="F239" s="523">
        <v>1</v>
      </c>
      <c r="G239" s="523">
        <v>1</v>
      </c>
      <c r="H239" s="523"/>
      <c r="I239" s="523"/>
      <c r="J239" s="523">
        <v>1</v>
      </c>
      <c r="K239" s="523">
        <v>1</v>
      </c>
      <c r="L239" s="523"/>
      <c r="M239" s="523"/>
      <c r="N239" s="523"/>
      <c r="O239" s="523"/>
      <c r="P239" s="523"/>
      <c r="Q239" s="523">
        <v>1</v>
      </c>
      <c r="R239" s="523">
        <v>0.93</v>
      </c>
      <c r="S239" s="523"/>
      <c r="T239" s="523">
        <v>0.89</v>
      </c>
      <c r="U239" s="523"/>
      <c r="V239" s="523">
        <v>1</v>
      </c>
      <c r="W239" s="523"/>
      <c r="X239" s="523"/>
      <c r="Y239" s="523"/>
      <c r="Z239" s="523"/>
      <c r="AA239" s="523">
        <v>0.92</v>
      </c>
      <c r="AB239" s="523"/>
      <c r="AC239" s="523">
        <v>1</v>
      </c>
      <c r="AD239" s="523">
        <v>1</v>
      </c>
      <c r="AE239" s="523"/>
      <c r="AF239" s="523"/>
      <c r="AG239" s="523">
        <v>1</v>
      </c>
      <c r="AH239" s="523">
        <v>1</v>
      </c>
      <c r="AI239" s="523"/>
      <c r="AJ239" s="523"/>
      <c r="AK239" s="523">
        <v>1</v>
      </c>
      <c r="AL239" s="523">
        <v>1</v>
      </c>
      <c r="AM239" s="523"/>
      <c r="AN239" s="523"/>
      <c r="AO239" s="523"/>
      <c r="AP239" s="523"/>
    </row>
    <row r="240" spans="1:42" ht="12.75">
      <c r="A240" s="523" t="s">
        <v>184</v>
      </c>
      <c r="B240" s="523">
        <v>1</v>
      </c>
      <c r="C240" s="523">
        <v>1</v>
      </c>
      <c r="D240" s="523"/>
      <c r="E240" s="523"/>
      <c r="F240" s="523">
        <v>1</v>
      </c>
      <c r="G240" s="523">
        <v>1</v>
      </c>
      <c r="H240" s="523"/>
      <c r="I240" s="523"/>
      <c r="J240" s="523">
        <v>1</v>
      </c>
      <c r="K240" s="523">
        <v>1</v>
      </c>
      <c r="L240" s="523"/>
      <c r="M240" s="523"/>
      <c r="N240" s="523"/>
      <c r="O240" s="523"/>
      <c r="P240" s="523"/>
      <c r="Q240" s="523">
        <v>1</v>
      </c>
      <c r="R240" s="523">
        <v>0.93</v>
      </c>
      <c r="S240" s="523"/>
      <c r="T240" s="523">
        <v>0.89</v>
      </c>
      <c r="U240" s="523"/>
      <c r="V240" s="523">
        <v>1</v>
      </c>
      <c r="W240" s="523"/>
      <c r="X240" s="523"/>
      <c r="Y240" s="523"/>
      <c r="Z240" s="523"/>
      <c r="AA240" s="523">
        <v>0.92</v>
      </c>
      <c r="AB240" s="523"/>
      <c r="AC240" s="523">
        <v>1</v>
      </c>
      <c r="AD240" s="523">
        <v>1</v>
      </c>
      <c r="AE240" s="523"/>
      <c r="AF240" s="523"/>
      <c r="AG240" s="523">
        <v>1</v>
      </c>
      <c r="AH240" s="523">
        <v>1</v>
      </c>
      <c r="AI240" s="523"/>
      <c r="AJ240" s="523"/>
      <c r="AK240" s="523">
        <v>1</v>
      </c>
      <c r="AL240" s="523">
        <v>1</v>
      </c>
      <c r="AM240" s="523"/>
      <c r="AN240" s="523"/>
      <c r="AO240" s="523"/>
      <c r="AP240" s="523"/>
    </row>
    <row r="241" spans="1:42" ht="12.75">
      <c r="A241" s="523" t="s">
        <v>185</v>
      </c>
      <c r="B241" s="523">
        <v>1</v>
      </c>
      <c r="C241" s="523">
        <v>1</v>
      </c>
      <c r="D241" s="523"/>
      <c r="E241" s="523"/>
      <c r="F241" s="523">
        <v>1</v>
      </c>
      <c r="G241" s="523">
        <v>1</v>
      </c>
      <c r="H241" s="523"/>
      <c r="I241" s="523"/>
      <c r="J241" s="523">
        <v>1</v>
      </c>
      <c r="K241" s="523">
        <v>1</v>
      </c>
      <c r="L241" s="523"/>
      <c r="M241" s="523"/>
      <c r="N241" s="523"/>
      <c r="O241" s="523"/>
      <c r="P241" s="523"/>
      <c r="Q241" s="523">
        <v>1</v>
      </c>
      <c r="R241" s="523">
        <v>0.93</v>
      </c>
      <c r="S241" s="523"/>
      <c r="T241" s="523">
        <v>0.93</v>
      </c>
      <c r="U241" s="523"/>
      <c r="V241" s="523">
        <v>1</v>
      </c>
      <c r="W241" s="523"/>
      <c r="X241" s="523"/>
      <c r="Y241" s="523"/>
      <c r="Z241" s="523"/>
      <c r="AA241" s="523">
        <v>0.93</v>
      </c>
      <c r="AB241" s="523"/>
      <c r="AC241" s="523">
        <v>1</v>
      </c>
      <c r="AD241" s="523">
        <v>1</v>
      </c>
      <c r="AE241" s="523"/>
      <c r="AF241" s="523"/>
      <c r="AG241" s="523">
        <v>1</v>
      </c>
      <c r="AH241" s="523">
        <v>1</v>
      </c>
      <c r="AI241" s="523"/>
      <c r="AJ241" s="523"/>
      <c r="AK241" s="523">
        <v>1</v>
      </c>
      <c r="AL241" s="523">
        <v>1</v>
      </c>
      <c r="AM241" s="523"/>
      <c r="AN241" s="523"/>
      <c r="AO241" s="523"/>
      <c r="AP241" s="523"/>
    </row>
    <row r="242" spans="1:42" ht="12.75">
      <c r="A242" s="523" t="s">
        <v>186</v>
      </c>
      <c r="B242" s="523">
        <v>1</v>
      </c>
      <c r="C242" s="523">
        <v>1</v>
      </c>
      <c r="D242" s="523"/>
      <c r="E242" s="523"/>
      <c r="F242" s="523">
        <v>1</v>
      </c>
      <c r="G242" s="523">
        <v>1</v>
      </c>
      <c r="H242" s="523"/>
      <c r="I242" s="523"/>
      <c r="J242" s="523">
        <v>1</v>
      </c>
      <c r="K242" s="523">
        <v>1</v>
      </c>
      <c r="L242" s="523"/>
      <c r="M242" s="523"/>
      <c r="N242" s="523"/>
      <c r="O242" s="523"/>
      <c r="P242" s="523"/>
      <c r="Q242" s="523">
        <v>1</v>
      </c>
      <c r="R242" s="523">
        <v>0.93</v>
      </c>
      <c r="S242" s="523"/>
      <c r="T242" s="523">
        <v>0.89</v>
      </c>
      <c r="U242" s="523"/>
      <c r="V242" s="523">
        <v>1</v>
      </c>
      <c r="W242" s="523"/>
      <c r="X242" s="523"/>
      <c r="Y242" s="523"/>
      <c r="Z242" s="523"/>
      <c r="AA242" s="523">
        <v>0.92</v>
      </c>
      <c r="AB242" s="523"/>
      <c r="AC242" s="523">
        <v>1</v>
      </c>
      <c r="AD242" s="523">
        <v>1</v>
      </c>
      <c r="AE242" s="523"/>
      <c r="AF242" s="523"/>
      <c r="AG242" s="523">
        <v>1</v>
      </c>
      <c r="AH242" s="523">
        <v>1</v>
      </c>
      <c r="AI242" s="523"/>
      <c r="AJ242" s="523"/>
      <c r="AK242" s="523">
        <v>1</v>
      </c>
      <c r="AL242" s="523">
        <v>1</v>
      </c>
      <c r="AM242" s="523"/>
      <c r="AN242" s="523"/>
      <c r="AO242" s="523"/>
      <c r="AP242" s="523"/>
    </row>
    <row r="243" spans="1:42" ht="12.75">
      <c r="A243" s="523" t="s">
        <v>187</v>
      </c>
      <c r="B243" s="523">
        <v>1</v>
      </c>
      <c r="C243" s="523">
        <v>1</v>
      </c>
      <c r="D243" s="523"/>
      <c r="E243" s="523"/>
      <c r="F243" s="523">
        <v>1</v>
      </c>
      <c r="G243" s="523">
        <v>1</v>
      </c>
      <c r="H243" s="523"/>
      <c r="I243" s="523"/>
      <c r="J243" s="523">
        <v>1</v>
      </c>
      <c r="K243" s="523">
        <v>1</v>
      </c>
      <c r="L243" s="523"/>
      <c r="M243" s="523"/>
      <c r="N243" s="523"/>
      <c r="O243" s="523"/>
      <c r="P243" s="523"/>
      <c r="Q243" s="523">
        <v>1</v>
      </c>
      <c r="R243" s="523">
        <v>0.93</v>
      </c>
      <c r="S243" s="523"/>
      <c r="T243" s="523">
        <v>0.89</v>
      </c>
      <c r="U243" s="523"/>
      <c r="V243" s="523">
        <v>1</v>
      </c>
      <c r="W243" s="523"/>
      <c r="X243" s="523"/>
      <c r="Y243" s="523"/>
      <c r="Z243" s="523"/>
      <c r="AA243" s="523">
        <v>0.93</v>
      </c>
      <c r="AB243" s="523"/>
      <c r="AC243" s="523">
        <v>0.93</v>
      </c>
      <c r="AD243" s="523">
        <v>1</v>
      </c>
      <c r="AE243" s="523"/>
      <c r="AF243" s="523"/>
      <c r="AG243" s="523">
        <v>1</v>
      </c>
      <c r="AH243" s="523">
        <v>1</v>
      </c>
      <c r="AI243" s="523"/>
      <c r="AJ243" s="523"/>
      <c r="AK243" s="523">
        <v>1</v>
      </c>
      <c r="AL243" s="523">
        <v>1</v>
      </c>
      <c r="AM243" s="523"/>
      <c r="AN243" s="523"/>
      <c r="AO243" s="523"/>
      <c r="AP243" s="523"/>
    </row>
    <row r="244" spans="1:42" ht="12.75">
      <c r="A244" s="523" t="s">
        <v>188</v>
      </c>
      <c r="B244" s="523">
        <v>1</v>
      </c>
      <c r="C244" s="523">
        <v>1</v>
      </c>
      <c r="D244" s="523"/>
      <c r="E244" s="523"/>
      <c r="F244" s="523">
        <v>1</v>
      </c>
      <c r="G244" s="523">
        <v>1</v>
      </c>
      <c r="H244" s="523"/>
      <c r="I244" s="523"/>
      <c r="J244" s="523">
        <v>1</v>
      </c>
      <c r="K244" s="523">
        <v>1</v>
      </c>
      <c r="L244" s="523"/>
      <c r="M244" s="523"/>
      <c r="N244" s="523"/>
      <c r="O244" s="523"/>
      <c r="P244" s="523"/>
      <c r="Q244" s="523">
        <v>1</v>
      </c>
      <c r="R244" s="523">
        <v>0.93</v>
      </c>
      <c r="S244" s="523"/>
      <c r="T244" s="523">
        <v>0.93</v>
      </c>
      <c r="U244" s="523"/>
      <c r="V244" s="523">
        <v>1</v>
      </c>
      <c r="W244" s="523"/>
      <c r="X244" s="523"/>
      <c r="Y244" s="523"/>
      <c r="Z244" s="523"/>
      <c r="AA244" s="523">
        <v>0.92</v>
      </c>
      <c r="AB244" s="523"/>
      <c r="AC244" s="523">
        <v>1</v>
      </c>
      <c r="AD244" s="523">
        <v>1</v>
      </c>
      <c r="AE244" s="523"/>
      <c r="AF244" s="523"/>
      <c r="AG244" s="523">
        <v>1</v>
      </c>
      <c r="AH244" s="523">
        <v>1</v>
      </c>
      <c r="AI244" s="523"/>
      <c r="AJ244" s="523"/>
      <c r="AK244" s="523">
        <v>1</v>
      </c>
      <c r="AL244" s="523">
        <v>1</v>
      </c>
      <c r="AM244" s="523"/>
      <c r="AN244" s="523"/>
      <c r="AO244" s="523"/>
      <c r="AP244" s="523"/>
    </row>
    <row r="245" spans="1:42" ht="12.75">
      <c r="A245" s="523" t="s">
        <v>189</v>
      </c>
      <c r="B245" s="523"/>
      <c r="C245" s="523"/>
      <c r="D245" s="523"/>
      <c r="E245" s="523"/>
      <c r="F245" s="523"/>
      <c r="G245" s="523"/>
      <c r="H245" s="523"/>
      <c r="I245" s="523"/>
      <c r="J245" s="523"/>
      <c r="K245" s="523"/>
      <c r="L245" s="523"/>
      <c r="M245" s="523"/>
      <c r="N245" s="523"/>
      <c r="O245" s="523"/>
      <c r="P245" s="523"/>
      <c r="Q245" s="523"/>
      <c r="R245" s="523">
        <v>0.93</v>
      </c>
      <c r="S245" s="523">
        <v>0.93</v>
      </c>
      <c r="T245" s="523"/>
      <c r="U245" s="523">
        <v>1</v>
      </c>
      <c r="V245" s="523"/>
      <c r="W245" s="523"/>
      <c r="X245" s="523"/>
      <c r="Y245" s="523"/>
      <c r="Z245" s="523"/>
      <c r="AA245" s="523"/>
      <c r="AB245" s="523"/>
      <c r="AC245" s="523"/>
      <c r="AD245" s="523"/>
      <c r="AE245" s="523"/>
      <c r="AF245" s="523"/>
      <c r="AG245" s="523"/>
      <c r="AH245" s="523"/>
      <c r="AI245" s="523"/>
      <c r="AJ245" s="523"/>
      <c r="AK245" s="523"/>
      <c r="AL245" s="523"/>
      <c r="AM245" s="523"/>
      <c r="AN245" s="523"/>
      <c r="AO245" s="523"/>
      <c r="AP245" s="523"/>
    </row>
    <row r="246" spans="1:42" ht="12.75">
      <c r="A246" s="523" t="s">
        <v>190</v>
      </c>
      <c r="B246" s="523"/>
      <c r="C246" s="523"/>
      <c r="D246" s="523"/>
      <c r="E246" s="523"/>
      <c r="F246" s="523"/>
      <c r="G246" s="523"/>
      <c r="H246" s="523"/>
      <c r="I246" s="523"/>
      <c r="J246" s="523"/>
      <c r="K246" s="523"/>
      <c r="L246" s="523"/>
      <c r="M246" s="523"/>
      <c r="N246" s="523"/>
      <c r="O246" s="523"/>
      <c r="P246" s="523"/>
      <c r="Q246" s="523"/>
      <c r="R246" s="523">
        <v>0.93</v>
      </c>
      <c r="S246" s="523">
        <v>0.93</v>
      </c>
      <c r="T246" s="523"/>
      <c r="U246" s="523">
        <v>1</v>
      </c>
      <c r="V246" s="523"/>
      <c r="W246" s="523"/>
      <c r="X246" s="523"/>
      <c r="Y246" s="523"/>
      <c r="Z246" s="523"/>
      <c r="AA246" s="523"/>
      <c r="AB246" s="523"/>
      <c r="AC246" s="523"/>
      <c r="AD246" s="523"/>
      <c r="AE246" s="523"/>
      <c r="AF246" s="523"/>
      <c r="AG246" s="523"/>
      <c r="AH246" s="523"/>
      <c r="AI246" s="523"/>
      <c r="AJ246" s="523"/>
      <c r="AK246" s="523"/>
      <c r="AL246" s="523"/>
      <c r="AM246" s="523"/>
      <c r="AN246" s="523"/>
      <c r="AO246" s="523"/>
      <c r="AP246" s="523"/>
    </row>
    <row r="247" spans="1:42" ht="12.75">
      <c r="A247" s="523" t="s">
        <v>191</v>
      </c>
      <c r="B247" s="523"/>
      <c r="C247" s="523"/>
      <c r="D247" s="523"/>
      <c r="E247" s="523"/>
      <c r="F247" s="523"/>
      <c r="G247" s="523"/>
      <c r="H247" s="523"/>
      <c r="I247" s="523"/>
      <c r="J247" s="523"/>
      <c r="K247" s="523"/>
      <c r="L247" s="523"/>
      <c r="M247" s="523"/>
      <c r="N247" s="523"/>
      <c r="O247" s="523"/>
      <c r="P247" s="523"/>
      <c r="Q247" s="523"/>
      <c r="R247" s="523">
        <v>0.93</v>
      </c>
      <c r="S247" s="523">
        <v>0.93</v>
      </c>
      <c r="T247" s="523"/>
      <c r="U247" s="523">
        <v>1</v>
      </c>
      <c r="V247" s="523"/>
      <c r="W247" s="523"/>
      <c r="X247" s="523"/>
      <c r="Y247" s="523"/>
      <c r="Z247" s="523"/>
      <c r="AA247" s="523"/>
      <c r="AB247" s="523"/>
      <c r="AC247" s="523"/>
      <c r="AD247" s="523"/>
      <c r="AE247" s="523"/>
      <c r="AF247" s="523"/>
      <c r="AG247" s="523"/>
      <c r="AH247" s="523"/>
      <c r="AI247" s="523"/>
      <c r="AJ247" s="523"/>
      <c r="AK247" s="523"/>
      <c r="AL247" s="523"/>
      <c r="AM247" s="523"/>
      <c r="AN247" s="523"/>
      <c r="AO247" s="523"/>
      <c r="AP247" s="523"/>
    </row>
    <row r="248" spans="1:42" ht="12.75">
      <c r="A248" s="523" t="s">
        <v>192</v>
      </c>
      <c r="B248" s="523"/>
      <c r="C248" s="523"/>
      <c r="D248" s="523"/>
      <c r="E248" s="523"/>
      <c r="F248" s="523"/>
      <c r="G248" s="523"/>
      <c r="H248" s="523"/>
      <c r="I248" s="523"/>
      <c r="J248" s="523"/>
      <c r="K248" s="523"/>
      <c r="L248" s="523"/>
      <c r="M248" s="523"/>
      <c r="N248" s="523"/>
      <c r="O248" s="523"/>
      <c r="P248" s="523"/>
      <c r="Q248" s="523"/>
      <c r="R248" s="523">
        <v>0.93</v>
      </c>
      <c r="S248" s="523">
        <v>0.93</v>
      </c>
      <c r="T248" s="523"/>
      <c r="U248" s="523">
        <v>1</v>
      </c>
      <c r="V248" s="523"/>
      <c r="W248" s="523"/>
      <c r="X248" s="523"/>
      <c r="Y248" s="523"/>
      <c r="Z248" s="523"/>
      <c r="AA248" s="523"/>
      <c r="AB248" s="523"/>
      <c r="AC248" s="523"/>
      <c r="AD248" s="523"/>
      <c r="AE248" s="523"/>
      <c r="AF248" s="523"/>
      <c r="AG248" s="523"/>
      <c r="AH248" s="523"/>
      <c r="AI248" s="523"/>
      <c r="AJ248" s="523"/>
      <c r="AK248" s="523"/>
      <c r="AL248" s="523"/>
      <c r="AM248" s="523"/>
      <c r="AN248" s="523"/>
      <c r="AO248" s="523"/>
      <c r="AP248" s="523"/>
    </row>
    <row r="249" spans="1:42" ht="12.75">
      <c r="A249" s="523" t="s">
        <v>193</v>
      </c>
      <c r="B249" s="523"/>
      <c r="C249" s="523"/>
      <c r="D249" s="523"/>
      <c r="E249" s="523"/>
      <c r="F249" s="523"/>
      <c r="G249" s="523"/>
      <c r="H249" s="523"/>
      <c r="I249" s="523"/>
      <c r="J249" s="523"/>
      <c r="K249" s="523"/>
      <c r="L249" s="523"/>
      <c r="M249" s="523"/>
      <c r="N249" s="523"/>
      <c r="O249" s="523"/>
      <c r="P249" s="523"/>
      <c r="Q249" s="523"/>
      <c r="R249" s="523">
        <v>0.93</v>
      </c>
      <c r="S249" s="523">
        <v>0.93</v>
      </c>
      <c r="T249" s="523"/>
      <c r="U249" s="523">
        <v>1</v>
      </c>
      <c r="V249" s="523"/>
      <c r="W249" s="523"/>
      <c r="X249" s="523"/>
      <c r="Y249" s="523"/>
      <c r="Z249" s="523"/>
      <c r="AA249" s="523"/>
      <c r="AB249" s="523"/>
      <c r="AC249" s="523"/>
      <c r="AD249" s="523"/>
      <c r="AE249" s="523"/>
      <c r="AF249" s="523"/>
      <c r="AG249" s="523"/>
      <c r="AH249" s="523"/>
      <c r="AI249" s="523"/>
      <c r="AJ249" s="523"/>
      <c r="AK249" s="523"/>
      <c r="AL249" s="523"/>
      <c r="AM249" s="523"/>
      <c r="AN249" s="523"/>
      <c r="AO249" s="523"/>
      <c r="AP249" s="523"/>
    </row>
    <row r="250" spans="1:42" ht="12.75">
      <c r="A250" s="523" t="s">
        <v>194</v>
      </c>
      <c r="B250" s="523"/>
      <c r="C250" s="523"/>
      <c r="D250" s="523"/>
      <c r="E250" s="523"/>
      <c r="F250" s="523"/>
      <c r="G250" s="523"/>
      <c r="H250" s="523"/>
      <c r="I250" s="523"/>
      <c r="J250" s="523"/>
      <c r="K250" s="523"/>
      <c r="L250" s="523"/>
      <c r="M250" s="523"/>
      <c r="N250" s="523"/>
      <c r="O250" s="523"/>
      <c r="P250" s="523"/>
      <c r="Q250" s="523"/>
      <c r="R250" s="523">
        <v>0.93</v>
      </c>
      <c r="S250" s="523">
        <v>0.93</v>
      </c>
      <c r="T250" s="523"/>
      <c r="U250" s="523">
        <v>1</v>
      </c>
      <c r="V250" s="523"/>
      <c r="W250" s="523"/>
      <c r="X250" s="523"/>
      <c r="Y250" s="523"/>
      <c r="Z250" s="523"/>
      <c r="AA250" s="523"/>
      <c r="AB250" s="523"/>
      <c r="AC250" s="523"/>
      <c r="AD250" s="523"/>
      <c r="AE250" s="523"/>
      <c r="AF250" s="523"/>
      <c r="AG250" s="523"/>
      <c r="AH250" s="523"/>
      <c r="AI250" s="523"/>
      <c r="AJ250" s="523"/>
      <c r="AK250" s="523"/>
      <c r="AL250" s="523"/>
      <c r="AM250" s="523"/>
      <c r="AN250" s="523"/>
      <c r="AO250" s="523"/>
      <c r="AP250" s="523"/>
    </row>
    <row r="251" spans="1:42" ht="12.75">
      <c r="A251" s="523" t="s">
        <v>195</v>
      </c>
      <c r="B251" s="523"/>
      <c r="C251" s="523"/>
      <c r="D251" s="523"/>
      <c r="E251" s="523"/>
      <c r="F251" s="523"/>
      <c r="G251" s="523"/>
      <c r="H251" s="523"/>
      <c r="I251" s="523"/>
      <c r="J251" s="523"/>
      <c r="K251" s="523"/>
      <c r="L251" s="523"/>
      <c r="M251" s="523"/>
      <c r="N251" s="523"/>
      <c r="O251" s="523"/>
      <c r="P251" s="523"/>
      <c r="Q251" s="523"/>
      <c r="R251" s="523">
        <v>0.93</v>
      </c>
      <c r="S251" s="523">
        <v>0.93</v>
      </c>
      <c r="T251" s="523"/>
      <c r="U251" s="523">
        <v>1</v>
      </c>
      <c r="V251" s="523"/>
      <c r="W251" s="523"/>
      <c r="X251" s="523"/>
      <c r="Y251" s="523"/>
      <c r="Z251" s="523"/>
      <c r="AA251" s="523"/>
      <c r="AB251" s="523"/>
      <c r="AC251" s="523"/>
      <c r="AD251" s="523"/>
      <c r="AE251" s="523"/>
      <c r="AF251" s="523"/>
      <c r="AG251" s="523"/>
      <c r="AH251" s="523"/>
      <c r="AI251" s="523"/>
      <c r="AJ251" s="523"/>
      <c r="AK251" s="523"/>
      <c r="AL251" s="523"/>
      <c r="AM251" s="523"/>
      <c r="AN251" s="523"/>
      <c r="AO251" s="523"/>
      <c r="AP251" s="523"/>
    </row>
    <row r="252" spans="1:42" ht="12.75">
      <c r="A252" s="523" t="s">
        <v>196</v>
      </c>
      <c r="B252" s="523"/>
      <c r="C252" s="523"/>
      <c r="D252" s="523"/>
      <c r="E252" s="523"/>
      <c r="F252" s="523"/>
      <c r="G252" s="523"/>
      <c r="H252" s="523"/>
      <c r="I252" s="523"/>
      <c r="J252" s="523"/>
      <c r="K252" s="523"/>
      <c r="L252" s="523"/>
      <c r="M252" s="523"/>
      <c r="N252" s="523"/>
      <c r="O252" s="523"/>
      <c r="P252" s="523"/>
      <c r="Q252" s="523"/>
      <c r="R252" s="523">
        <v>0.93</v>
      </c>
      <c r="S252" s="523">
        <v>0.93</v>
      </c>
      <c r="T252" s="523"/>
      <c r="U252" s="523">
        <v>1</v>
      </c>
      <c r="V252" s="523"/>
      <c r="W252" s="523"/>
      <c r="X252" s="523"/>
      <c r="Y252" s="523"/>
      <c r="Z252" s="523"/>
      <c r="AA252" s="523"/>
      <c r="AB252" s="523"/>
      <c r="AC252" s="523"/>
      <c r="AD252" s="523"/>
      <c r="AE252" s="523"/>
      <c r="AF252" s="523"/>
      <c r="AG252" s="523"/>
      <c r="AH252" s="523"/>
      <c r="AI252" s="523"/>
      <c r="AJ252" s="523"/>
      <c r="AK252" s="523"/>
      <c r="AL252" s="523"/>
      <c r="AM252" s="523"/>
      <c r="AN252" s="523"/>
      <c r="AO252" s="523"/>
      <c r="AP252" s="523"/>
    </row>
    <row r="253" spans="1:42" ht="12.75">
      <c r="A253" s="523" t="s">
        <v>197</v>
      </c>
      <c r="B253" s="523"/>
      <c r="C253" s="523"/>
      <c r="D253" s="523"/>
      <c r="E253" s="523"/>
      <c r="F253" s="523"/>
      <c r="G253" s="523"/>
      <c r="H253" s="523"/>
      <c r="I253" s="523"/>
      <c r="J253" s="523"/>
      <c r="K253" s="523"/>
      <c r="L253" s="523"/>
      <c r="M253" s="523"/>
      <c r="N253" s="523"/>
      <c r="O253" s="523"/>
      <c r="P253" s="523"/>
      <c r="Q253" s="523"/>
      <c r="R253" s="523">
        <v>0.93</v>
      </c>
      <c r="S253" s="523">
        <v>0.93</v>
      </c>
      <c r="T253" s="523"/>
      <c r="U253" s="523">
        <v>1</v>
      </c>
      <c r="V253" s="523"/>
      <c r="W253" s="523"/>
      <c r="X253" s="523"/>
      <c r="Y253" s="523"/>
      <c r="Z253" s="523"/>
      <c r="AA253" s="523"/>
      <c r="AB253" s="523"/>
      <c r="AC253" s="523"/>
      <c r="AD253" s="523"/>
      <c r="AE253" s="523"/>
      <c r="AF253" s="523"/>
      <c r="AG253" s="523"/>
      <c r="AH253" s="523"/>
      <c r="AI253" s="523"/>
      <c r="AJ253" s="523"/>
      <c r="AK253" s="523"/>
      <c r="AL253" s="523"/>
      <c r="AM253" s="523"/>
      <c r="AN253" s="523"/>
      <c r="AO253" s="523"/>
      <c r="AP253" s="523"/>
    </row>
    <row r="254" spans="1:42" ht="12.75">
      <c r="A254" s="523" t="s">
        <v>198</v>
      </c>
      <c r="B254" s="523"/>
      <c r="C254" s="523"/>
      <c r="D254" s="523"/>
      <c r="E254" s="523"/>
      <c r="F254" s="523"/>
      <c r="G254" s="523"/>
      <c r="H254" s="523"/>
      <c r="I254" s="523"/>
      <c r="J254" s="523"/>
      <c r="K254" s="523"/>
      <c r="L254" s="523"/>
      <c r="M254" s="523"/>
      <c r="N254" s="523"/>
      <c r="O254" s="523"/>
      <c r="P254" s="523"/>
      <c r="Q254" s="523"/>
      <c r="R254" s="523">
        <v>0.93</v>
      </c>
      <c r="S254" s="523">
        <v>0.93</v>
      </c>
      <c r="T254" s="523"/>
      <c r="U254" s="523">
        <v>1</v>
      </c>
      <c r="V254" s="523"/>
      <c r="W254" s="523"/>
      <c r="X254" s="523"/>
      <c r="Y254" s="523"/>
      <c r="Z254" s="523"/>
      <c r="AA254" s="523"/>
      <c r="AB254" s="523"/>
      <c r="AC254" s="523"/>
      <c r="AD254" s="523"/>
      <c r="AE254" s="523"/>
      <c r="AF254" s="523"/>
      <c r="AG254" s="523"/>
      <c r="AH254" s="523"/>
      <c r="AI254" s="523"/>
      <c r="AJ254" s="523"/>
      <c r="AK254" s="523"/>
      <c r="AL254" s="523"/>
      <c r="AM254" s="523"/>
      <c r="AN254" s="523"/>
      <c r="AO254" s="523"/>
      <c r="AP254" s="523"/>
    </row>
    <row r="255" spans="1:42" ht="12.75">
      <c r="A255" s="523" t="s">
        <v>199</v>
      </c>
      <c r="B255" s="523"/>
      <c r="C255" s="523"/>
      <c r="D255" s="523"/>
      <c r="E255" s="523"/>
      <c r="F255" s="523"/>
      <c r="G255" s="523"/>
      <c r="H255" s="523"/>
      <c r="I255" s="523"/>
      <c r="J255" s="523"/>
      <c r="K255" s="523"/>
      <c r="L255" s="523"/>
      <c r="M255" s="523"/>
      <c r="N255" s="523"/>
      <c r="O255" s="523"/>
      <c r="P255" s="523"/>
      <c r="Q255" s="523"/>
      <c r="R255" s="523">
        <v>0.93</v>
      </c>
      <c r="S255" s="523">
        <v>0.93</v>
      </c>
      <c r="T255" s="523"/>
      <c r="U255" s="523">
        <v>1</v>
      </c>
      <c r="V255" s="523"/>
      <c r="W255" s="523"/>
      <c r="X255" s="523"/>
      <c r="Y255" s="523"/>
      <c r="Z255" s="523"/>
      <c r="AA255" s="523"/>
      <c r="AB255" s="523"/>
      <c r="AC255" s="523"/>
      <c r="AD255" s="523"/>
      <c r="AE255" s="523"/>
      <c r="AF255" s="523"/>
      <c r="AG255" s="523"/>
      <c r="AH255" s="523"/>
      <c r="AI255" s="523"/>
      <c r="AJ255" s="523"/>
      <c r="AK255" s="523"/>
      <c r="AL255" s="523"/>
      <c r="AM255" s="523"/>
      <c r="AN255" s="523"/>
      <c r="AO255" s="523"/>
      <c r="AP255" s="523"/>
    </row>
    <row r="256" spans="1:42" ht="12.75">
      <c r="A256" s="523" t="s">
        <v>200</v>
      </c>
      <c r="B256" s="523"/>
      <c r="C256" s="523"/>
      <c r="D256" s="523"/>
      <c r="E256" s="523"/>
      <c r="F256" s="523"/>
      <c r="G256" s="523"/>
      <c r="H256" s="523"/>
      <c r="I256" s="523"/>
      <c r="J256" s="523"/>
      <c r="K256" s="523"/>
      <c r="L256" s="523"/>
      <c r="M256" s="523"/>
      <c r="N256" s="523"/>
      <c r="O256" s="523"/>
      <c r="P256" s="523"/>
      <c r="Q256" s="523"/>
      <c r="R256" s="523">
        <v>0.93</v>
      </c>
      <c r="S256" s="523">
        <v>0.93</v>
      </c>
      <c r="T256" s="523"/>
      <c r="U256" s="523">
        <v>1</v>
      </c>
      <c r="V256" s="523"/>
      <c r="W256" s="523"/>
      <c r="X256" s="523"/>
      <c r="Y256" s="523"/>
      <c r="Z256" s="523"/>
      <c r="AA256" s="523"/>
      <c r="AB256" s="523"/>
      <c r="AC256" s="523"/>
      <c r="AD256" s="523"/>
      <c r="AE256" s="523"/>
      <c r="AF256" s="523"/>
      <c r="AG256" s="523"/>
      <c r="AH256" s="523"/>
      <c r="AI256" s="523"/>
      <c r="AJ256" s="523"/>
      <c r="AK256" s="523"/>
      <c r="AL256" s="523"/>
      <c r="AM256" s="523"/>
      <c r="AN256" s="523"/>
      <c r="AO256" s="523"/>
      <c r="AP256" s="523"/>
    </row>
    <row r="257" spans="1:42" ht="12.75">
      <c r="A257" s="523" t="s">
        <v>201</v>
      </c>
      <c r="B257" s="523"/>
      <c r="C257" s="523"/>
      <c r="D257" s="523"/>
      <c r="E257" s="523"/>
      <c r="F257" s="523"/>
      <c r="G257" s="523"/>
      <c r="H257" s="523"/>
      <c r="I257" s="523"/>
      <c r="J257" s="523"/>
      <c r="K257" s="523"/>
      <c r="L257" s="523"/>
      <c r="M257" s="523"/>
      <c r="N257" s="523"/>
      <c r="O257" s="523"/>
      <c r="P257" s="523"/>
      <c r="Q257" s="523"/>
      <c r="R257" s="523">
        <v>0.93</v>
      </c>
      <c r="S257" s="523">
        <v>0.93</v>
      </c>
      <c r="T257" s="523"/>
      <c r="U257" s="523">
        <v>1</v>
      </c>
      <c r="V257" s="523"/>
      <c r="W257" s="523"/>
      <c r="X257" s="523"/>
      <c r="Y257" s="523"/>
      <c r="Z257" s="523"/>
      <c r="AA257" s="523"/>
      <c r="AB257" s="523"/>
      <c r="AC257" s="523"/>
      <c r="AD257" s="523"/>
      <c r="AE257" s="523"/>
      <c r="AF257" s="523"/>
      <c r="AG257" s="523"/>
      <c r="AH257" s="523"/>
      <c r="AI257" s="523"/>
      <c r="AJ257" s="523"/>
      <c r="AK257" s="523"/>
      <c r="AL257" s="523"/>
      <c r="AM257" s="523"/>
      <c r="AN257" s="523"/>
      <c r="AO257" s="523"/>
      <c r="AP257" s="523"/>
    </row>
    <row r="258" spans="1:42" ht="12.75">
      <c r="A258" s="523" t="s">
        <v>202</v>
      </c>
      <c r="B258" s="523"/>
      <c r="C258" s="523"/>
      <c r="D258" s="523"/>
      <c r="E258" s="523"/>
      <c r="F258" s="523"/>
      <c r="G258" s="523"/>
      <c r="H258" s="523"/>
      <c r="I258" s="523"/>
      <c r="J258" s="523"/>
      <c r="K258" s="523"/>
      <c r="L258" s="523"/>
      <c r="M258" s="523"/>
      <c r="N258" s="523"/>
      <c r="O258" s="523"/>
      <c r="P258" s="523"/>
      <c r="Q258" s="523"/>
      <c r="R258" s="523">
        <v>0.93</v>
      </c>
      <c r="S258" s="523">
        <v>0.93</v>
      </c>
      <c r="T258" s="523"/>
      <c r="U258" s="523">
        <v>1</v>
      </c>
      <c r="V258" s="523"/>
      <c r="W258" s="523"/>
      <c r="X258" s="523"/>
      <c r="Y258" s="523"/>
      <c r="Z258" s="523"/>
      <c r="AA258" s="523"/>
      <c r="AB258" s="523"/>
      <c r="AC258" s="523"/>
      <c r="AD258" s="523"/>
      <c r="AE258" s="523"/>
      <c r="AF258" s="523"/>
      <c r="AG258" s="523"/>
      <c r="AH258" s="523"/>
      <c r="AI258" s="523"/>
      <c r="AJ258" s="523"/>
      <c r="AK258" s="523"/>
      <c r="AL258" s="523"/>
      <c r="AM258" s="523"/>
      <c r="AN258" s="523"/>
      <c r="AO258" s="523"/>
      <c r="AP258" s="523"/>
    </row>
    <row r="259" spans="1:42" ht="12.75">
      <c r="A259" s="523" t="s">
        <v>203</v>
      </c>
      <c r="B259" s="523"/>
      <c r="C259" s="523"/>
      <c r="D259" s="523"/>
      <c r="E259" s="523"/>
      <c r="F259" s="523"/>
      <c r="G259" s="523"/>
      <c r="H259" s="523"/>
      <c r="I259" s="523"/>
      <c r="J259" s="523"/>
      <c r="K259" s="523"/>
      <c r="L259" s="523"/>
      <c r="M259" s="523"/>
      <c r="N259" s="523"/>
      <c r="O259" s="523"/>
      <c r="P259" s="523"/>
      <c r="Q259" s="523"/>
      <c r="R259" s="523">
        <v>0.93</v>
      </c>
      <c r="S259" s="523">
        <v>0.93</v>
      </c>
      <c r="T259" s="523"/>
      <c r="U259" s="523">
        <v>1</v>
      </c>
      <c r="V259" s="523"/>
      <c r="W259" s="523"/>
      <c r="X259" s="523"/>
      <c r="Y259" s="523"/>
      <c r="Z259" s="523"/>
      <c r="AA259" s="523"/>
      <c r="AB259" s="523"/>
      <c r="AC259" s="523"/>
      <c r="AD259" s="523"/>
      <c r="AE259" s="523"/>
      <c r="AF259" s="523"/>
      <c r="AG259" s="523"/>
      <c r="AH259" s="523"/>
      <c r="AI259" s="523"/>
      <c r="AJ259" s="523"/>
      <c r="AK259" s="523"/>
      <c r="AL259" s="523"/>
      <c r="AM259" s="523"/>
      <c r="AN259" s="523"/>
      <c r="AO259" s="523"/>
      <c r="AP259" s="523"/>
    </row>
    <row r="260" spans="1:42" ht="12.75">
      <c r="A260" s="523" t="s">
        <v>204</v>
      </c>
      <c r="B260" s="523"/>
      <c r="C260" s="523"/>
      <c r="D260" s="523"/>
      <c r="E260" s="523"/>
      <c r="F260" s="523"/>
      <c r="G260" s="523"/>
      <c r="H260" s="523"/>
      <c r="I260" s="523"/>
      <c r="J260" s="523"/>
      <c r="K260" s="523"/>
      <c r="L260" s="523"/>
      <c r="M260" s="523"/>
      <c r="N260" s="523"/>
      <c r="O260" s="523"/>
      <c r="P260" s="523"/>
      <c r="Q260" s="523"/>
      <c r="R260" s="523">
        <v>0.93</v>
      </c>
      <c r="S260" s="523">
        <v>0.93</v>
      </c>
      <c r="T260" s="523"/>
      <c r="U260" s="523">
        <v>1</v>
      </c>
      <c r="V260" s="523"/>
      <c r="W260" s="523"/>
      <c r="X260" s="523"/>
      <c r="Y260" s="523"/>
      <c r="Z260" s="523"/>
      <c r="AA260" s="523"/>
      <c r="AB260" s="523"/>
      <c r="AC260" s="523"/>
      <c r="AD260" s="523"/>
      <c r="AE260" s="523"/>
      <c r="AF260" s="523"/>
      <c r="AG260" s="523"/>
      <c r="AH260" s="523"/>
      <c r="AI260" s="523"/>
      <c r="AJ260" s="523"/>
      <c r="AK260" s="523"/>
      <c r="AL260" s="523"/>
      <c r="AM260" s="523"/>
      <c r="AN260" s="523"/>
      <c r="AO260" s="523"/>
      <c r="AP260" s="523"/>
    </row>
    <row r="261" spans="1:42" ht="12.75">
      <c r="A261" s="523" t="s">
        <v>205</v>
      </c>
      <c r="B261" s="523"/>
      <c r="C261" s="523"/>
      <c r="D261" s="523"/>
      <c r="E261" s="523"/>
      <c r="F261" s="523"/>
      <c r="G261" s="523"/>
      <c r="H261" s="523"/>
      <c r="I261" s="523"/>
      <c r="J261" s="523"/>
      <c r="K261" s="523"/>
      <c r="L261" s="523"/>
      <c r="M261" s="523"/>
      <c r="N261" s="523"/>
      <c r="O261" s="523"/>
      <c r="P261" s="523"/>
      <c r="Q261" s="523"/>
      <c r="R261" s="523">
        <v>0.93</v>
      </c>
      <c r="S261" s="523">
        <v>0.93</v>
      </c>
      <c r="T261" s="523"/>
      <c r="U261" s="523">
        <v>1</v>
      </c>
      <c r="V261" s="523"/>
      <c r="W261" s="523"/>
      <c r="X261" s="523"/>
      <c r="Y261" s="523"/>
      <c r="Z261" s="523"/>
      <c r="AA261" s="523"/>
      <c r="AB261" s="523"/>
      <c r="AC261" s="523"/>
      <c r="AD261" s="523"/>
      <c r="AE261" s="523"/>
      <c r="AF261" s="523"/>
      <c r="AG261" s="523"/>
      <c r="AH261" s="523"/>
      <c r="AI261" s="523"/>
      <c r="AJ261" s="523"/>
      <c r="AK261" s="523"/>
      <c r="AL261" s="523"/>
      <c r="AM261" s="523"/>
      <c r="AN261" s="523"/>
      <c r="AO261" s="523"/>
      <c r="AP261" s="523"/>
    </row>
    <row r="262" spans="1:42" ht="12.75">
      <c r="A262" s="523" t="s">
        <v>206</v>
      </c>
      <c r="B262" s="523"/>
      <c r="C262" s="523"/>
      <c r="D262" s="523"/>
      <c r="E262" s="523"/>
      <c r="F262" s="523"/>
      <c r="G262" s="523"/>
      <c r="H262" s="523"/>
      <c r="I262" s="523"/>
      <c r="J262" s="523"/>
      <c r="K262" s="523"/>
      <c r="L262" s="523"/>
      <c r="M262" s="523"/>
      <c r="N262" s="523"/>
      <c r="O262" s="523"/>
      <c r="P262" s="523"/>
      <c r="Q262" s="523"/>
      <c r="R262" s="523">
        <v>0.93</v>
      </c>
      <c r="S262" s="523">
        <v>0.93</v>
      </c>
      <c r="T262" s="523"/>
      <c r="U262" s="523">
        <v>1</v>
      </c>
      <c r="V262" s="523"/>
      <c r="W262" s="523"/>
      <c r="X262" s="523"/>
      <c r="Y262" s="523"/>
      <c r="Z262" s="523"/>
      <c r="AA262" s="523"/>
      <c r="AB262" s="523"/>
      <c r="AC262" s="523"/>
      <c r="AD262" s="523"/>
      <c r="AE262" s="523"/>
      <c r="AF262" s="523"/>
      <c r="AG262" s="523"/>
      <c r="AH262" s="523"/>
      <c r="AI262" s="523"/>
      <c r="AJ262" s="523"/>
      <c r="AK262" s="523"/>
      <c r="AL262" s="523"/>
      <c r="AM262" s="523"/>
      <c r="AN262" s="523"/>
      <c r="AO262" s="523"/>
      <c r="AP262" s="523"/>
    </row>
    <row r="263" spans="1:42" ht="12.75">
      <c r="A263" s="523" t="s">
        <v>207</v>
      </c>
      <c r="B263" s="523"/>
      <c r="C263" s="523"/>
      <c r="D263" s="523"/>
      <c r="E263" s="523"/>
      <c r="F263" s="523"/>
      <c r="G263" s="523"/>
      <c r="H263" s="523"/>
      <c r="I263" s="523"/>
      <c r="J263" s="523"/>
      <c r="K263" s="523"/>
      <c r="L263" s="523"/>
      <c r="M263" s="523"/>
      <c r="N263" s="523"/>
      <c r="O263" s="523"/>
      <c r="P263" s="523"/>
      <c r="Q263" s="523"/>
      <c r="R263" s="523">
        <v>0.93</v>
      </c>
      <c r="S263" s="523">
        <v>0.93</v>
      </c>
      <c r="T263" s="523"/>
      <c r="U263" s="523">
        <v>1</v>
      </c>
      <c r="V263" s="523"/>
      <c r="W263" s="523"/>
      <c r="X263" s="523"/>
      <c r="Y263" s="523"/>
      <c r="Z263" s="523"/>
      <c r="AA263" s="523"/>
      <c r="AB263" s="523"/>
      <c r="AC263" s="523"/>
      <c r="AD263" s="523"/>
      <c r="AE263" s="523"/>
      <c r="AF263" s="523"/>
      <c r="AG263" s="523"/>
      <c r="AH263" s="523"/>
      <c r="AI263" s="523"/>
      <c r="AJ263" s="523"/>
      <c r="AK263" s="523"/>
      <c r="AL263" s="523"/>
      <c r="AM263" s="523"/>
      <c r="AN263" s="523"/>
      <c r="AO263" s="523"/>
      <c r="AP263" s="523"/>
    </row>
    <row r="264" spans="1:42" ht="12.75">
      <c r="A264" s="523" t="s">
        <v>208</v>
      </c>
      <c r="B264" s="523"/>
      <c r="C264" s="523"/>
      <c r="D264" s="523"/>
      <c r="E264" s="523"/>
      <c r="F264" s="523"/>
      <c r="G264" s="523"/>
      <c r="H264" s="523"/>
      <c r="I264" s="523"/>
      <c r="J264" s="523"/>
      <c r="K264" s="523"/>
      <c r="L264" s="523"/>
      <c r="M264" s="523"/>
      <c r="N264" s="523"/>
      <c r="O264" s="523"/>
      <c r="P264" s="523"/>
      <c r="Q264" s="523"/>
      <c r="R264" s="523">
        <v>0.93</v>
      </c>
      <c r="S264" s="523">
        <v>0.93</v>
      </c>
      <c r="T264" s="523"/>
      <c r="U264" s="523">
        <v>1</v>
      </c>
      <c r="V264" s="523"/>
      <c r="W264" s="523"/>
      <c r="X264" s="523"/>
      <c r="Y264" s="523"/>
      <c r="Z264" s="523"/>
      <c r="AA264" s="523"/>
      <c r="AB264" s="523"/>
      <c r="AC264" s="523"/>
      <c r="AD264" s="523"/>
      <c r="AE264" s="523"/>
      <c r="AF264" s="523"/>
      <c r="AG264" s="523"/>
      <c r="AH264" s="523"/>
      <c r="AI264" s="523"/>
      <c r="AJ264" s="523"/>
      <c r="AK264" s="523"/>
      <c r="AL264" s="523"/>
      <c r="AM264" s="523"/>
      <c r="AN264" s="523"/>
      <c r="AO264" s="523"/>
      <c r="AP264" s="523"/>
    </row>
    <row r="265" spans="1:43" s="536" customFormat="1" ht="12.75">
      <c r="A265" s="539" t="s">
        <v>566</v>
      </c>
      <c r="B265" s="548">
        <v>1</v>
      </c>
      <c r="C265" s="548">
        <v>1</v>
      </c>
      <c r="D265" s="548"/>
      <c r="E265" s="548"/>
      <c r="F265" s="548">
        <v>1</v>
      </c>
      <c r="G265" s="548">
        <v>1</v>
      </c>
      <c r="H265" s="548"/>
      <c r="I265" s="548"/>
      <c r="J265" s="548">
        <v>1</v>
      </c>
      <c r="K265" s="548">
        <v>1</v>
      </c>
      <c r="L265" s="548"/>
      <c r="M265" s="548"/>
      <c r="N265" s="548"/>
      <c r="O265" s="548"/>
      <c r="P265" s="548"/>
      <c r="Q265" s="548">
        <v>1</v>
      </c>
      <c r="R265" s="548">
        <v>1</v>
      </c>
      <c r="S265" s="548"/>
      <c r="T265" s="548">
        <v>1</v>
      </c>
      <c r="U265" s="548"/>
      <c r="V265" s="548">
        <v>1</v>
      </c>
      <c r="W265" s="548"/>
      <c r="X265" s="548"/>
      <c r="Y265" s="548"/>
      <c r="Z265" s="548"/>
      <c r="AA265" s="548">
        <v>1</v>
      </c>
      <c r="AB265" s="548"/>
      <c r="AC265" s="548">
        <v>1</v>
      </c>
      <c r="AD265" s="548">
        <v>1</v>
      </c>
      <c r="AE265" s="548"/>
      <c r="AF265" s="548"/>
      <c r="AG265" s="548">
        <v>1</v>
      </c>
      <c r="AH265" s="548">
        <v>1</v>
      </c>
      <c r="AI265" s="548"/>
      <c r="AJ265" s="548"/>
      <c r="AK265" s="548">
        <v>1</v>
      </c>
      <c r="AL265" s="548">
        <v>1</v>
      </c>
      <c r="AM265" s="548"/>
      <c r="AN265" s="548"/>
      <c r="AO265" s="548"/>
      <c r="AP265" s="548"/>
      <c r="AQ265" s="548"/>
    </row>
    <row r="266" spans="1:43" ht="12.75">
      <c r="A266" s="522" t="s">
        <v>567</v>
      </c>
      <c r="B266" s="523">
        <v>1</v>
      </c>
      <c r="C266" s="523">
        <v>1</v>
      </c>
      <c r="D266" s="523"/>
      <c r="E266" s="523"/>
      <c r="F266" s="523">
        <v>1</v>
      </c>
      <c r="G266" s="523">
        <v>1</v>
      </c>
      <c r="H266" s="523"/>
      <c r="I266" s="523"/>
      <c r="J266" s="523">
        <v>1</v>
      </c>
      <c r="K266" s="523">
        <v>1</v>
      </c>
      <c r="L266" s="523"/>
      <c r="M266" s="523"/>
      <c r="N266" s="523"/>
      <c r="O266" s="523"/>
      <c r="P266" s="523"/>
      <c r="Q266" s="523">
        <v>1</v>
      </c>
      <c r="R266" s="523">
        <v>1</v>
      </c>
      <c r="S266" s="523"/>
      <c r="T266" s="523">
        <v>1</v>
      </c>
      <c r="U266" s="523"/>
      <c r="V266" s="523">
        <v>1</v>
      </c>
      <c r="W266" s="523"/>
      <c r="X266" s="523"/>
      <c r="Y266" s="523"/>
      <c r="Z266" s="523"/>
      <c r="AA266" s="523">
        <v>0.93</v>
      </c>
      <c r="AB266" s="523"/>
      <c r="AC266" s="523">
        <v>1</v>
      </c>
      <c r="AD266" s="523">
        <v>1</v>
      </c>
      <c r="AE266" s="523"/>
      <c r="AF266" s="523"/>
      <c r="AG266" s="523">
        <v>1</v>
      </c>
      <c r="AH266" s="523">
        <v>1</v>
      </c>
      <c r="AI266" s="523"/>
      <c r="AJ266" s="523"/>
      <c r="AK266" s="523">
        <v>1</v>
      </c>
      <c r="AL266" s="523">
        <v>1</v>
      </c>
      <c r="AM266" s="523"/>
      <c r="AN266" s="523"/>
      <c r="AO266" s="523"/>
      <c r="AP266" s="523"/>
      <c r="AQ266" s="523"/>
    </row>
    <row r="267" spans="1:43" ht="12.75">
      <c r="A267" s="522" t="s">
        <v>568</v>
      </c>
      <c r="B267" s="523">
        <v>1</v>
      </c>
      <c r="C267" s="523">
        <v>1</v>
      </c>
      <c r="D267" s="523"/>
      <c r="E267" s="523"/>
      <c r="F267" s="523">
        <v>1</v>
      </c>
      <c r="G267" s="523">
        <v>1</v>
      </c>
      <c r="H267" s="523"/>
      <c r="I267" s="523"/>
      <c r="J267" s="523">
        <v>1</v>
      </c>
      <c r="K267" s="523">
        <v>1</v>
      </c>
      <c r="L267" s="523"/>
      <c r="M267" s="523"/>
      <c r="N267" s="523"/>
      <c r="O267" s="523"/>
      <c r="P267" s="523"/>
      <c r="Q267" s="523">
        <v>1</v>
      </c>
      <c r="R267" s="523">
        <v>1</v>
      </c>
      <c r="S267" s="523"/>
      <c r="T267" s="523">
        <v>1</v>
      </c>
      <c r="U267" s="523"/>
      <c r="V267" s="523">
        <v>1</v>
      </c>
      <c r="W267" s="523"/>
      <c r="X267" s="523"/>
      <c r="Y267" s="523"/>
      <c r="Z267" s="523"/>
      <c r="AA267" s="523">
        <v>0.93</v>
      </c>
      <c r="AB267" s="523"/>
      <c r="AC267" s="523">
        <v>1</v>
      </c>
      <c r="AD267" s="523">
        <v>1</v>
      </c>
      <c r="AE267" s="523"/>
      <c r="AF267" s="523"/>
      <c r="AG267" s="523">
        <v>1</v>
      </c>
      <c r="AH267" s="523">
        <v>1</v>
      </c>
      <c r="AI267" s="523"/>
      <c r="AJ267" s="523"/>
      <c r="AK267" s="523">
        <v>1</v>
      </c>
      <c r="AL267" s="523">
        <v>1</v>
      </c>
      <c r="AM267" s="523"/>
      <c r="AN267" s="523"/>
      <c r="AO267" s="523"/>
      <c r="AP267" s="523"/>
      <c r="AQ267" s="523"/>
    </row>
    <row r="268" spans="1:43" ht="12.75">
      <c r="A268" s="522" t="s">
        <v>569</v>
      </c>
      <c r="B268" s="523">
        <v>1</v>
      </c>
      <c r="C268" s="523">
        <v>1</v>
      </c>
      <c r="D268" s="523"/>
      <c r="E268" s="523"/>
      <c r="F268" s="523">
        <v>1</v>
      </c>
      <c r="G268" s="523">
        <v>1</v>
      </c>
      <c r="H268" s="523"/>
      <c r="I268" s="523"/>
      <c r="J268" s="523">
        <v>1</v>
      </c>
      <c r="K268" s="523">
        <v>1</v>
      </c>
      <c r="L268" s="523"/>
      <c r="M268" s="523"/>
      <c r="N268" s="523"/>
      <c r="O268" s="523"/>
      <c r="P268" s="523"/>
      <c r="Q268" s="523">
        <v>1</v>
      </c>
      <c r="R268" s="523">
        <v>1</v>
      </c>
      <c r="S268" s="523"/>
      <c r="T268" s="523">
        <v>1</v>
      </c>
      <c r="U268" s="523"/>
      <c r="V268" s="523">
        <v>1</v>
      </c>
      <c r="W268" s="523"/>
      <c r="X268" s="523"/>
      <c r="Y268" s="523"/>
      <c r="Z268" s="523"/>
      <c r="AA268" s="523">
        <v>0.93</v>
      </c>
      <c r="AB268" s="523"/>
      <c r="AC268" s="523">
        <v>1</v>
      </c>
      <c r="AD268" s="523">
        <v>1</v>
      </c>
      <c r="AE268" s="523"/>
      <c r="AF268" s="523"/>
      <c r="AG268" s="523">
        <v>1</v>
      </c>
      <c r="AH268" s="523">
        <v>1</v>
      </c>
      <c r="AI268" s="523"/>
      <c r="AJ268" s="523"/>
      <c r="AK268" s="523">
        <v>1</v>
      </c>
      <c r="AL268" s="523">
        <v>1</v>
      </c>
      <c r="AM268" s="523"/>
      <c r="AN268" s="523"/>
      <c r="AO268" s="523"/>
      <c r="AP268" s="523"/>
      <c r="AQ268" s="523"/>
    </row>
    <row r="269" spans="1:43" ht="12.75">
      <c r="A269" s="522" t="s">
        <v>570</v>
      </c>
      <c r="B269" s="523">
        <v>1</v>
      </c>
      <c r="C269" s="523">
        <v>1</v>
      </c>
      <c r="D269" s="523"/>
      <c r="E269" s="523"/>
      <c r="F269" s="523">
        <v>1</v>
      </c>
      <c r="G269" s="523">
        <v>1</v>
      </c>
      <c r="H269" s="523"/>
      <c r="I269" s="523"/>
      <c r="J269" s="523">
        <v>1</v>
      </c>
      <c r="K269" s="523">
        <v>1</v>
      </c>
      <c r="L269" s="523"/>
      <c r="M269" s="523"/>
      <c r="N269" s="523"/>
      <c r="O269" s="523"/>
      <c r="P269" s="523"/>
      <c r="Q269" s="523">
        <v>1</v>
      </c>
      <c r="R269" s="523">
        <v>1</v>
      </c>
      <c r="S269" s="523"/>
      <c r="T269" s="523">
        <v>1</v>
      </c>
      <c r="U269" s="523"/>
      <c r="V269" s="523">
        <v>1</v>
      </c>
      <c r="W269" s="523"/>
      <c r="X269" s="523"/>
      <c r="Y269" s="523"/>
      <c r="Z269" s="523"/>
      <c r="AA269" s="523">
        <v>0.93</v>
      </c>
      <c r="AB269" s="523"/>
      <c r="AC269" s="523">
        <v>1</v>
      </c>
      <c r="AD269" s="523">
        <v>1</v>
      </c>
      <c r="AE269" s="523"/>
      <c r="AF269" s="523"/>
      <c r="AG269" s="523">
        <v>1</v>
      </c>
      <c r="AH269" s="523">
        <v>1</v>
      </c>
      <c r="AI269" s="523"/>
      <c r="AJ269" s="523"/>
      <c r="AK269" s="523">
        <v>1</v>
      </c>
      <c r="AL269" s="523">
        <v>1</v>
      </c>
      <c r="AM269" s="523"/>
      <c r="AN269" s="523"/>
      <c r="AO269" s="523"/>
      <c r="AP269" s="523"/>
      <c r="AQ269" s="523"/>
    </row>
    <row r="270" spans="1:43" ht="12.75">
      <c r="A270" s="522" t="s">
        <v>571</v>
      </c>
      <c r="B270" s="523">
        <v>1</v>
      </c>
      <c r="C270" s="523">
        <v>1</v>
      </c>
      <c r="D270" s="523"/>
      <c r="E270" s="523"/>
      <c r="F270" s="523">
        <v>1</v>
      </c>
      <c r="G270" s="523">
        <v>1</v>
      </c>
      <c r="H270" s="523"/>
      <c r="I270" s="523"/>
      <c r="J270" s="523">
        <v>1</v>
      </c>
      <c r="K270" s="523">
        <v>1</v>
      </c>
      <c r="L270" s="523"/>
      <c r="M270" s="523"/>
      <c r="N270" s="523"/>
      <c r="O270" s="523"/>
      <c r="P270" s="523"/>
      <c r="Q270" s="523">
        <v>1</v>
      </c>
      <c r="R270" s="523">
        <v>1</v>
      </c>
      <c r="S270" s="523"/>
      <c r="T270" s="523">
        <v>1</v>
      </c>
      <c r="U270" s="523"/>
      <c r="V270" s="523">
        <v>1</v>
      </c>
      <c r="W270" s="523"/>
      <c r="X270" s="523"/>
      <c r="Y270" s="523"/>
      <c r="Z270" s="523"/>
      <c r="AA270" s="523">
        <v>0.93</v>
      </c>
      <c r="AB270" s="523"/>
      <c r="AC270" s="523">
        <v>1</v>
      </c>
      <c r="AD270" s="523">
        <v>1</v>
      </c>
      <c r="AE270" s="523"/>
      <c r="AF270" s="523"/>
      <c r="AG270" s="523">
        <v>1</v>
      </c>
      <c r="AH270" s="523">
        <v>1</v>
      </c>
      <c r="AI270" s="523"/>
      <c r="AJ270" s="523"/>
      <c r="AK270" s="523">
        <v>1</v>
      </c>
      <c r="AL270" s="523">
        <v>1</v>
      </c>
      <c r="AM270" s="523"/>
      <c r="AN270" s="523"/>
      <c r="AO270" s="523"/>
      <c r="AP270" s="523"/>
      <c r="AQ270" s="523"/>
    </row>
    <row r="271" spans="1:43" ht="12.75">
      <c r="A271" s="522" t="s">
        <v>572</v>
      </c>
      <c r="B271" s="523">
        <v>1</v>
      </c>
      <c r="C271" s="523">
        <v>1</v>
      </c>
      <c r="D271" s="523"/>
      <c r="E271" s="523"/>
      <c r="F271" s="523">
        <v>1</v>
      </c>
      <c r="G271" s="523">
        <v>1</v>
      </c>
      <c r="H271" s="523"/>
      <c r="I271" s="523"/>
      <c r="J271" s="523">
        <v>1</v>
      </c>
      <c r="K271" s="523">
        <v>1</v>
      </c>
      <c r="L271" s="523"/>
      <c r="M271" s="523"/>
      <c r="N271" s="523"/>
      <c r="O271" s="523"/>
      <c r="P271" s="523"/>
      <c r="Q271" s="523">
        <v>1</v>
      </c>
      <c r="R271" s="523">
        <v>1</v>
      </c>
      <c r="S271" s="523"/>
      <c r="T271" s="523">
        <v>1</v>
      </c>
      <c r="U271" s="523"/>
      <c r="V271" s="523">
        <v>1</v>
      </c>
      <c r="W271" s="523"/>
      <c r="X271" s="523"/>
      <c r="Y271" s="523"/>
      <c r="Z271" s="523"/>
      <c r="AA271" s="523">
        <v>0.93</v>
      </c>
      <c r="AB271" s="523"/>
      <c r="AC271" s="523">
        <v>1</v>
      </c>
      <c r="AD271" s="523">
        <v>1</v>
      </c>
      <c r="AE271" s="523"/>
      <c r="AF271" s="523"/>
      <c r="AG271" s="523">
        <v>1</v>
      </c>
      <c r="AH271" s="523">
        <v>1</v>
      </c>
      <c r="AI271" s="523"/>
      <c r="AJ271" s="523"/>
      <c r="AK271" s="523">
        <v>1</v>
      </c>
      <c r="AL271" s="523">
        <v>1</v>
      </c>
      <c r="AM271" s="523"/>
      <c r="AN271" s="523"/>
      <c r="AO271" s="523"/>
      <c r="AP271" s="523"/>
      <c r="AQ271" s="523"/>
    </row>
    <row r="272" spans="1:43" ht="12.75">
      <c r="A272" s="522" t="s">
        <v>573</v>
      </c>
      <c r="B272" s="523">
        <v>1</v>
      </c>
      <c r="C272" s="523">
        <v>1</v>
      </c>
      <c r="D272" s="523"/>
      <c r="E272" s="523"/>
      <c r="F272" s="523">
        <v>1</v>
      </c>
      <c r="G272" s="523">
        <v>1</v>
      </c>
      <c r="H272" s="523"/>
      <c r="I272" s="523"/>
      <c r="J272" s="523">
        <v>1</v>
      </c>
      <c r="K272" s="523">
        <v>1</v>
      </c>
      <c r="L272" s="523"/>
      <c r="M272" s="523"/>
      <c r="N272" s="523"/>
      <c r="O272" s="523"/>
      <c r="P272" s="523"/>
      <c r="Q272" s="523">
        <v>1</v>
      </c>
      <c r="R272" s="523">
        <v>1</v>
      </c>
      <c r="S272" s="523"/>
      <c r="T272" s="523">
        <v>1</v>
      </c>
      <c r="U272" s="523"/>
      <c r="V272" s="523">
        <v>1</v>
      </c>
      <c r="W272" s="523"/>
      <c r="X272" s="523"/>
      <c r="Y272" s="523"/>
      <c r="Z272" s="523"/>
      <c r="AA272" s="523">
        <v>1</v>
      </c>
      <c r="AB272" s="523"/>
      <c r="AC272" s="523">
        <v>1</v>
      </c>
      <c r="AD272" s="523">
        <v>1</v>
      </c>
      <c r="AE272" s="523"/>
      <c r="AF272" s="523"/>
      <c r="AG272" s="523">
        <v>1</v>
      </c>
      <c r="AH272" s="523">
        <v>1</v>
      </c>
      <c r="AI272" s="523"/>
      <c r="AJ272" s="523"/>
      <c r="AK272" s="523">
        <v>1</v>
      </c>
      <c r="AL272" s="523">
        <v>1</v>
      </c>
      <c r="AM272" s="523"/>
      <c r="AN272" s="523"/>
      <c r="AO272" s="523"/>
      <c r="AP272" s="523"/>
      <c r="AQ272" s="523"/>
    </row>
    <row r="273" spans="1:43" ht="12.75">
      <c r="A273" s="522" t="s">
        <v>574</v>
      </c>
      <c r="B273" s="523">
        <v>1</v>
      </c>
      <c r="C273" s="523">
        <v>1</v>
      </c>
      <c r="D273" s="523"/>
      <c r="E273" s="523"/>
      <c r="F273" s="523">
        <v>1</v>
      </c>
      <c r="G273" s="523">
        <v>1</v>
      </c>
      <c r="H273" s="523"/>
      <c r="I273" s="523"/>
      <c r="J273" s="523">
        <v>1</v>
      </c>
      <c r="K273" s="523">
        <v>1</v>
      </c>
      <c r="L273" s="523"/>
      <c r="M273" s="523"/>
      <c r="N273" s="523"/>
      <c r="O273" s="523"/>
      <c r="P273" s="523"/>
      <c r="Q273" s="523">
        <v>1</v>
      </c>
      <c r="R273" s="523">
        <v>1</v>
      </c>
      <c r="S273" s="523"/>
      <c r="T273" s="523">
        <v>1</v>
      </c>
      <c r="U273" s="523"/>
      <c r="V273" s="523">
        <v>1</v>
      </c>
      <c r="W273" s="523"/>
      <c r="X273" s="523"/>
      <c r="Y273" s="523"/>
      <c r="Z273" s="523"/>
      <c r="AA273" s="523">
        <v>0.93</v>
      </c>
      <c r="AB273" s="523"/>
      <c r="AC273" s="523">
        <v>1</v>
      </c>
      <c r="AD273" s="523">
        <v>1</v>
      </c>
      <c r="AE273" s="523"/>
      <c r="AF273" s="523"/>
      <c r="AG273" s="523">
        <v>1</v>
      </c>
      <c r="AH273" s="523">
        <v>1</v>
      </c>
      <c r="AI273" s="523"/>
      <c r="AJ273" s="523"/>
      <c r="AK273" s="523">
        <v>1</v>
      </c>
      <c r="AL273" s="523">
        <v>1</v>
      </c>
      <c r="AM273" s="523"/>
      <c r="AN273" s="523"/>
      <c r="AO273" s="523"/>
      <c r="AP273" s="523"/>
      <c r="AQ273" s="523"/>
    </row>
    <row r="274" spans="1:43" ht="12.75">
      <c r="A274" s="522" t="s">
        <v>218</v>
      </c>
      <c r="B274" s="523">
        <v>1</v>
      </c>
      <c r="C274" s="523">
        <v>1</v>
      </c>
      <c r="D274" s="523"/>
      <c r="E274" s="523"/>
      <c r="F274" s="523">
        <v>1</v>
      </c>
      <c r="G274" s="523">
        <v>1</v>
      </c>
      <c r="H274" s="523"/>
      <c r="I274" s="523"/>
      <c r="J274" s="523">
        <v>1</v>
      </c>
      <c r="K274" s="523">
        <v>1</v>
      </c>
      <c r="L274" s="523"/>
      <c r="M274" s="523"/>
      <c r="N274" s="523"/>
      <c r="O274" s="523"/>
      <c r="P274" s="523"/>
      <c r="Q274" s="523">
        <v>1</v>
      </c>
      <c r="R274" s="523">
        <v>1</v>
      </c>
      <c r="S274" s="523"/>
      <c r="T274" s="523">
        <v>1</v>
      </c>
      <c r="U274" s="523"/>
      <c r="V274" s="523">
        <v>1</v>
      </c>
      <c r="W274" s="523"/>
      <c r="X274" s="523"/>
      <c r="Y274" s="523"/>
      <c r="Z274" s="523"/>
      <c r="AA274" s="523">
        <v>0.93</v>
      </c>
      <c r="AB274" s="523"/>
      <c r="AC274" s="523">
        <v>1</v>
      </c>
      <c r="AD274" s="523">
        <v>1</v>
      </c>
      <c r="AE274" s="523"/>
      <c r="AF274" s="523"/>
      <c r="AG274" s="523">
        <v>1</v>
      </c>
      <c r="AH274" s="523">
        <v>1</v>
      </c>
      <c r="AI274" s="523"/>
      <c r="AJ274" s="523"/>
      <c r="AK274" s="523">
        <v>1</v>
      </c>
      <c r="AL274" s="523">
        <v>1</v>
      </c>
      <c r="AM274" s="523"/>
      <c r="AN274" s="523"/>
      <c r="AO274" s="523"/>
      <c r="AP274" s="523"/>
      <c r="AQ274" s="523"/>
    </row>
  </sheetData>
  <sheetProtection sheet="1" formatCells="0" formatColumns="0" formatRows="0"/>
  <printOptions/>
  <pageMargins left="0.75" right="0.75" top="1" bottom="1" header="0.4921259845" footer="0.4921259845"/>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codeName="Tabelle8">
    <pageSetUpPr fitToPage="1"/>
  </sheetPr>
  <dimension ref="A1:K41"/>
  <sheetViews>
    <sheetView zoomScale="75" zoomScaleNormal="75" zoomScalePageLayoutView="0" workbookViewId="0" topLeftCell="A1">
      <selection activeCell="F21" sqref="F21"/>
    </sheetView>
  </sheetViews>
  <sheetFormatPr defaultColWidth="11.421875" defaultRowHeight="12.75"/>
  <cols>
    <col min="1" max="1" width="24.8515625" style="3" customWidth="1"/>
    <col min="2" max="2" width="17.28125" style="3" bestFit="1" customWidth="1"/>
    <col min="3" max="3" width="13.00390625" style="3" customWidth="1"/>
    <col min="4" max="4" width="19.5742187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screen'!B25</f>
        <v>Operator exposure estimate: Greenhouse model. High crop, standard</v>
      </c>
      <c r="B1" s="2"/>
      <c r="C1" s="2"/>
      <c r="I1" s="171" t="str">
        <f>'Data entry screen'!B25</f>
        <v>High crop, standard</v>
      </c>
    </row>
    <row r="2" spans="1:7" ht="15.75">
      <c r="A2" s="4" t="s">
        <v>6</v>
      </c>
      <c r="B2" s="70" t="str">
        <f>'Data entry screen'!$B$3</f>
        <v>Dummy</v>
      </c>
      <c r="C2" s="5"/>
      <c r="D2" s="6"/>
      <c r="E2" s="6"/>
      <c r="F2" s="6"/>
      <c r="G2" s="7"/>
    </row>
    <row r="3" spans="1:7" ht="15.75">
      <c r="A3" s="7" t="s">
        <v>24</v>
      </c>
      <c r="B3" s="66" t="str">
        <f>'Data entry screen'!$B$6</f>
        <v>Substance 1</v>
      </c>
      <c r="C3" s="8"/>
      <c r="D3" s="15" t="s">
        <v>92</v>
      </c>
      <c r="E3" s="75">
        <f>'Data entry screen'!B7</f>
        <v>100</v>
      </c>
      <c r="F3" s="3" t="s">
        <v>93</v>
      </c>
      <c r="G3" s="7"/>
    </row>
    <row r="4" spans="1:7" ht="15.75">
      <c r="A4" s="7" t="s">
        <v>5</v>
      </c>
      <c r="B4" s="66" t="str">
        <f>'Data entry screen'!$B$4</f>
        <v>WG</v>
      </c>
      <c r="C4" s="9"/>
      <c r="D4" s="15" t="s">
        <v>11</v>
      </c>
      <c r="E4" s="8" t="s">
        <v>25</v>
      </c>
      <c r="F4" s="8" t="str">
        <f>'Data entry screen'!B31</f>
        <v>None</v>
      </c>
      <c r="G4" s="25"/>
    </row>
    <row r="5" spans="1:7" ht="15.75">
      <c r="A5" s="7" t="s">
        <v>88</v>
      </c>
      <c r="B5" s="12">
        <f>'Data entry screen'!B26</f>
        <v>0</v>
      </c>
      <c r="C5" s="8"/>
      <c r="D5" s="8"/>
      <c r="E5" s="8" t="s">
        <v>26</v>
      </c>
      <c r="F5" s="8" t="str">
        <f>'Data entry screen'!B32</f>
        <v>None</v>
      </c>
      <c r="G5" s="25"/>
    </row>
    <row r="6" spans="1:7" ht="15.75">
      <c r="A6" s="7" t="s">
        <v>7</v>
      </c>
      <c r="B6" s="13">
        <f>'Data entry screen'!B28</f>
        <v>1</v>
      </c>
      <c r="C6" s="14"/>
      <c r="D6" s="15" t="s">
        <v>12</v>
      </c>
      <c r="E6" s="8" t="s">
        <v>25</v>
      </c>
      <c r="F6" s="8" t="str">
        <f>'Data entry screen'!D30</f>
        <v>None</v>
      </c>
      <c r="G6" s="7"/>
    </row>
    <row r="7" spans="1:7" ht="15.75">
      <c r="A7" s="7" t="s">
        <v>78</v>
      </c>
      <c r="B7" s="13">
        <f>'Data entry screen'!B5</f>
        <v>70</v>
      </c>
      <c r="C7" s="16"/>
      <c r="E7" s="8" t="s">
        <v>26</v>
      </c>
      <c r="F7" s="8" t="str">
        <f>'Data entry screen'!D31</f>
        <v>None</v>
      </c>
      <c r="G7" s="7"/>
    </row>
    <row r="8" spans="1:7" ht="15.75">
      <c r="A8" s="7" t="s">
        <v>53</v>
      </c>
      <c r="B8" s="13">
        <f>'Data entry screen'!B8</f>
        <v>100</v>
      </c>
      <c r="C8" s="8"/>
      <c r="E8" s="8" t="s">
        <v>27</v>
      </c>
      <c r="F8" s="8" t="str">
        <f>'Data entry screen'!D32</f>
        <v>None</v>
      </c>
      <c r="G8" s="7"/>
    </row>
    <row r="9" spans="1:7" ht="15.75">
      <c r="A9" s="7" t="s">
        <v>52</v>
      </c>
      <c r="B9" s="71">
        <f>'Data entry screen'!B10</f>
        <v>100</v>
      </c>
      <c r="C9" s="8" t="s">
        <v>79</v>
      </c>
      <c r="D9" s="10"/>
      <c r="E9" s="8" t="s">
        <v>28</v>
      </c>
      <c r="F9" s="8" t="str">
        <f>'Data entry screen'!D34</f>
        <v>Coverall</v>
      </c>
      <c r="G9" s="7"/>
    </row>
    <row r="10" spans="1:7" ht="15.75">
      <c r="A10" s="17"/>
      <c r="B10" s="72">
        <f>'Data entry screen'!B11</f>
        <v>10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Calculations!C36</f>
        <v>0.013343799427581531</v>
      </c>
      <c r="C16" s="185"/>
      <c r="D16" s="197">
        <f aca="true" t="shared" si="0" ref="D16:D21">$E$3*$B$5*$B$6/1000</f>
        <v>0</v>
      </c>
      <c r="E16" s="208">
        <f>B16*$D16/$B$7</f>
        <v>0</v>
      </c>
      <c r="F16" s="12">
        <f>IF('Data entry screen'!B31="None","",Calculations!D36)</f>
      </c>
      <c r="G16" s="200">
        <f>IF(F4="None","",B16*F16*$D16/$B$7)</f>
      </c>
      <c r="H16" s="29" t="s">
        <v>31</v>
      </c>
      <c r="I16" s="173"/>
      <c r="J16" s="171"/>
      <c r="K16" s="171"/>
    </row>
    <row r="17" spans="1:11" ht="15.75">
      <c r="A17" s="27" t="s">
        <v>61</v>
      </c>
      <c r="B17" s="185">
        <f>Calculations!B39</f>
        <v>2.2951175335732805</v>
      </c>
      <c r="C17" s="185">
        <f>IF('Data entry screen'!B32="None","",Calculations!C39)</f>
      </c>
      <c r="D17" s="197">
        <f t="shared" si="0"/>
        <v>0</v>
      </c>
      <c r="E17" s="208">
        <f>B17*$D17/$B$7</f>
        <v>0</v>
      </c>
      <c r="F17" s="12"/>
      <c r="G17" s="200">
        <f>IF(F5="None","",C17*$D17/$B$7)</f>
      </c>
      <c r="H17" s="29" t="s">
        <v>36</v>
      </c>
      <c r="I17" s="174"/>
      <c r="J17" s="171"/>
      <c r="K17" s="171"/>
    </row>
    <row r="18" spans="1:11" ht="15.75">
      <c r="A18" s="27" t="s">
        <v>86</v>
      </c>
      <c r="B18" s="185">
        <f>Calculations!B42</f>
        <v>0.6769548608495896</v>
      </c>
      <c r="C18" s="185"/>
      <c r="D18" s="197">
        <f t="shared" si="0"/>
        <v>0</v>
      </c>
      <c r="E18" s="208">
        <f>B18*$D18/$B$7</f>
        <v>0</v>
      </c>
      <c r="F18" s="12">
        <f>IF('Data entry screen'!D30="None","",Calculations!D42)</f>
      </c>
      <c r="G18" s="200">
        <f>IF(F6="None","",B18*F18*$D18/$B$7)</f>
      </c>
      <c r="H18" s="29" t="s">
        <v>32</v>
      </c>
      <c r="I18" s="174"/>
      <c r="J18" s="171"/>
      <c r="K18" s="171"/>
    </row>
    <row r="19" spans="1:11" ht="15.75">
      <c r="A19" s="27" t="s">
        <v>62</v>
      </c>
      <c r="B19" s="185">
        <f>Calculations!B45</f>
        <v>0.806060606060606</v>
      </c>
      <c r="C19" s="185"/>
      <c r="D19" s="197">
        <f t="shared" si="0"/>
        <v>0</v>
      </c>
      <c r="E19" s="208">
        <f>B19*$D19/$B$7</f>
        <v>0</v>
      </c>
      <c r="F19" s="12">
        <f>IF(AND('Data entry screen'!D30="None",'Data entry screen'!D32="None"),"",Calculations!D45)</f>
      </c>
      <c r="G19" s="200">
        <f>IF(AND(F8="None",F6="None"),"",B19*F19*$D19/$B$7)</f>
      </c>
      <c r="H19" s="29" t="s">
        <v>34</v>
      </c>
      <c r="I19" s="174"/>
      <c r="J19" s="276">
        <f>IF(ISNUMBER(G19),G19,IF(G19="",E19,""))</f>
        <v>0</v>
      </c>
      <c r="K19" s="171"/>
    </row>
    <row r="20" spans="1:11" ht="15.75">
      <c r="A20" s="27" t="s">
        <v>63</v>
      </c>
      <c r="B20" s="185">
        <f>IF(ISNUMBER(Calculations!B48),Calculations!B48,"not applicable")</f>
        <v>25.19038613053613</v>
      </c>
      <c r="C20" s="185">
        <f>IF('Data entry screen'!D31="None","",Calculations!C48)</f>
      </c>
      <c r="D20" s="197">
        <f t="shared" si="0"/>
        <v>0</v>
      </c>
      <c r="E20" s="209">
        <f>IF('Data entry screen'!$B$25="High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shorts","",IF(ISNUMBER(Calculations!B51),Calculations!B51,"not applicable"))</f>
        <v>17.08412631842649</v>
      </c>
      <c r="C21" s="19">
        <f>IF(AND(OR('Data entry screen'!B25="High crop, standard",'Data entry screen'!B25="High crop, intensive contact with treated crop",'Data entry screen'!B25="Low crop, intensive contact with treated crop"),'Data entry screen'!D34="Impervious clothing"),Calculations!C51,"")</f>
      </c>
      <c r="D21" s="198">
        <f t="shared" si="0"/>
        <v>0</v>
      </c>
      <c r="E21" s="186">
        <f>IF('Data entry screen'!$B$25="High crop, intensive contact with treated crop","",B21*$D21/$B$7)</f>
        <v>0</v>
      </c>
      <c r="F21" s="73">
        <f>IF(F9="T-shirt + shorts","",IF(AND('Data entry screen'!D34="Impervious clothing",OR('Data entry screen'!B25="Low crop, intensive contact with treated crop",'Data entry screen'!B25="High crop, intensive contact with treated crop")),"",IF(OR(AND('Data entry screen'!B25="High crop, standard",'Data entry screen'!D34="Coverall"),'Data entry screen'!B25="Low crop, standard",'Data entry screen'!B25="Low crop, intensive contact with treated crop",'Data entry screen'!B25="High crop, intensive contact with treated crop"),"",Calculations!D51)))</f>
      </c>
      <c r="G21" s="201">
        <f>IF(F9="T-shirt + shorts","",IF(F9="Coverall","",IF(AND(OR('Data entry screen'!B25="Low crop, intensive contact with treated crop",'Data entry screen'!B25="High crop, intensive contact with treated crop"),F9="Impervious clothing"),C21*D21/$B$7,IF('Data entry screen'!B25="Low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66">
        <f>B9</f>
        <v>100</v>
      </c>
      <c r="D27" s="101">
        <f>E17</f>
        <v>0</v>
      </c>
      <c r="E27" s="278">
        <f>IF(D27="","",IF(C27=0,"",D27*C27/100))</f>
        <v>0</v>
      </c>
      <c r="F27" s="101">
        <f>IF(ISNUMBER(G17),G17,IF(AND(ISNUMBER(E17),OR(ISNUMBER(G16),ISNUMBER(G18),ISNUMBER(G19),ISNUMBER(G20),ISNUMBER(G21))),E17,""))</f>
      </c>
      <c r="G27" s="103">
        <f>IF(C27=0,"",IF(ISNUMBER(F27),F27*C27/100,""))</f>
      </c>
      <c r="I27" s="177"/>
      <c r="J27" s="177"/>
      <c r="K27" s="171"/>
    </row>
    <row r="28" spans="1:11" ht="15.75">
      <c r="A28" s="68"/>
      <c r="B28" s="114" t="s">
        <v>4</v>
      </c>
      <c r="C28" s="266">
        <f>B10</f>
        <v>10</v>
      </c>
      <c r="D28" s="101">
        <f>IF(F9="T-shirt + shorts","",IF('Data entry screen'!$B$25="High crop, intensive contact with treated crop","",SUM(E19:E21)))</f>
        <v>0</v>
      </c>
      <c r="E28" s="103">
        <f>IF(D28="","",IF('Data entry screen'!B25="High crop, intensive contact with treated crop","",IF(C28=0,"",D28*C28/100)))</f>
        <v>0</v>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67">
        <f>B8</f>
        <v>100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68">
        <f>B8</f>
        <v>100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74" t="s">
        <v>39</v>
      </c>
      <c r="D31" s="100"/>
      <c r="E31" s="77">
        <f>IF(AND(ISNUMBER(E27),ISNUMBER(E28),ISNUMBER(E29),ISNUMBER(E30)),SUM(E27:E30),"")</f>
        <v>0</v>
      </c>
      <c r="F31" s="100"/>
      <c r="G31" s="77">
        <f>IF(AND(ISNUMBER(G27),ISNUMBER(G28),ISNUMBER(G29),ISNUMBER(G30)),SUM(G27:G30),"")</f>
      </c>
      <c r="I31" s="178"/>
      <c r="J31" s="179"/>
      <c r="K31" s="171"/>
    </row>
    <row r="32" spans="1:7" ht="15.75">
      <c r="A32" s="10" t="s">
        <v>378</v>
      </c>
      <c r="B32" s="10"/>
      <c r="C32" s="28"/>
      <c r="D32" s="102" t="s">
        <v>334</v>
      </c>
      <c r="E32" s="102"/>
      <c r="F32" s="102"/>
      <c r="G32" s="102"/>
    </row>
    <row r="33" spans="1:8" ht="103.5"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G17" formula="1"/>
    <ignoredError sqref="E3" unlockedFormula="1"/>
  </ignoredErrors>
  <legacyDrawingHF r:id="rId1"/>
</worksheet>
</file>

<file path=xl/worksheets/sheet4.xml><?xml version="1.0" encoding="utf-8"?>
<worksheet xmlns="http://schemas.openxmlformats.org/spreadsheetml/2006/main" xmlns:r="http://schemas.openxmlformats.org/officeDocument/2006/relationships">
  <sheetPr codeName="Tabelle9">
    <pageSetUpPr fitToPage="1"/>
  </sheetPr>
  <dimension ref="A1:K41"/>
  <sheetViews>
    <sheetView zoomScale="75" zoomScaleNormal="75" zoomScalePageLayoutView="0" workbookViewId="0" topLeftCell="A1">
      <selection activeCell="F21" sqref="F21"/>
    </sheetView>
  </sheetViews>
  <sheetFormatPr defaultColWidth="11.421875" defaultRowHeight="12.75"/>
  <cols>
    <col min="1" max="1" width="24.28125" style="3" customWidth="1"/>
    <col min="2" max="2" width="18.28125" style="3" customWidth="1"/>
    <col min="3" max="3" width="13.7109375" style="3" customWidth="1"/>
    <col min="4" max="4" width="18.2812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screen'!B36</f>
        <v>Operator exposure estimate: Greenhouse model. High crop, standard</v>
      </c>
      <c r="B1" s="2"/>
      <c r="C1" s="2"/>
      <c r="I1" s="171" t="str">
        <f>'Data entry screen'!B36</f>
        <v>High crop, standard</v>
      </c>
    </row>
    <row r="2" spans="1:7" ht="15.75">
      <c r="A2" s="4" t="s">
        <v>6</v>
      </c>
      <c r="B2" s="70" t="str">
        <f>'Data entry screen'!$B$3</f>
        <v>Dummy</v>
      </c>
      <c r="C2" s="5"/>
      <c r="D2" s="6"/>
      <c r="E2" s="6"/>
      <c r="F2" s="6"/>
      <c r="G2" s="7"/>
    </row>
    <row r="3" spans="1:7" ht="15.75">
      <c r="A3" s="7" t="s">
        <v>24</v>
      </c>
      <c r="B3" s="66" t="str">
        <f>'Data entry screen'!$B$6</f>
        <v>Substance 1</v>
      </c>
      <c r="C3" s="8"/>
      <c r="D3" s="15" t="s">
        <v>92</v>
      </c>
      <c r="E3" s="75">
        <f>'Data entry screen'!B7</f>
        <v>100</v>
      </c>
      <c r="F3" s="3" t="s">
        <v>93</v>
      </c>
      <c r="G3" s="7"/>
    </row>
    <row r="4" spans="1:7" ht="15.75">
      <c r="A4" s="7" t="s">
        <v>5</v>
      </c>
      <c r="B4" s="66" t="str">
        <f>'Data entry screen'!$B$4</f>
        <v>WG</v>
      </c>
      <c r="C4" s="9"/>
      <c r="D4" s="15" t="s">
        <v>11</v>
      </c>
      <c r="E4" s="8" t="s">
        <v>25</v>
      </c>
      <c r="F4" s="8" t="str">
        <f>'Data entry screen'!B42</f>
        <v>None</v>
      </c>
      <c r="G4" s="25"/>
    </row>
    <row r="5" spans="1:7" ht="15.75">
      <c r="A5" s="7" t="s">
        <v>88</v>
      </c>
      <c r="B5" s="12">
        <f>'Data entry screen'!B37</f>
        <v>0</v>
      </c>
      <c r="C5" s="8"/>
      <c r="D5" s="8"/>
      <c r="E5" s="8" t="s">
        <v>26</v>
      </c>
      <c r="F5" s="8" t="str">
        <f>'Data entry screen'!B43</f>
        <v>None</v>
      </c>
      <c r="G5" s="25"/>
    </row>
    <row r="6" spans="1:7" ht="15.75">
      <c r="A6" s="7" t="s">
        <v>7</v>
      </c>
      <c r="B6" s="13">
        <f>'Data entry screen'!B39</f>
        <v>1</v>
      </c>
      <c r="C6" s="14"/>
      <c r="D6" s="15" t="s">
        <v>12</v>
      </c>
      <c r="E6" s="8" t="s">
        <v>25</v>
      </c>
      <c r="F6" s="8" t="str">
        <f>'Data entry screen'!D41</f>
        <v>None</v>
      </c>
      <c r="G6" s="7"/>
    </row>
    <row r="7" spans="1:7" ht="15.75">
      <c r="A7" s="7" t="s">
        <v>78</v>
      </c>
      <c r="B7" s="13">
        <f>'Data entry screen'!B5</f>
        <v>70</v>
      </c>
      <c r="C7" s="16"/>
      <c r="E7" s="8" t="s">
        <v>26</v>
      </c>
      <c r="F7" s="8" t="str">
        <f>'Data entry screen'!D42</f>
        <v>None</v>
      </c>
      <c r="G7" s="7"/>
    </row>
    <row r="8" spans="1:7" ht="15.75">
      <c r="A8" s="7" t="s">
        <v>53</v>
      </c>
      <c r="B8" s="13">
        <f>'Data entry screen'!B8</f>
        <v>100</v>
      </c>
      <c r="C8" s="8"/>
      <c r="E8" s="8" t="s">
        <v>27</v>
      </c>
      <c r="F8" s="8" t="str">
        <f>'Data entry screen'!D43</f>
        <v>None</v>
      </c>
      <c r="G8" s="7"/>
    </row>
    <row r="9" spans="1:7" ht="15.75">
      <c r="A9" s="7" t="s">
        <v>52</v>
      </c>
      <c r="B9" s="71">
        <f>'Data entry screen'!B10</f>
        <v>100</v>
      </c>
      <c r="C9" s="8" t="s">
        <v>79</v>
      </c>
      <c r="D9" s="10"/>
      <c r="E9" s="8" t="s">
        <v>28</v>
      </c>
      <c r="F9" s="8" t="str">
        <f>'Data entry screen'!D45</f>
        <v>Coverall</v>
      </c>
      <c r="G9" s="7"/>
    </row>
    <row r="10" spans="1:7" ht="15.75">
      <c r="A10" s="17"/>
      <c r="B10" s="72">
        <f>'Data entry screen'!B11</f>
        <v>10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Calculations!C57</f>
        <v>0.013343799427581531</v>
      </c>
      <c r="C16" s="185"/>
      <c r="D16" s="197">
        <f aca="true" t="shared" si="0" ref="D16:D21">$E$3*$B$5*$B$6/1000</f>
        <v>0</v>
      </c>
      <c r="E16" s="208">
        <f>B16*$D16/$B$7</f>
        <v>0</v>
      </c>
      <c r="F16" s="12">
        <f>IF('Data entry screen'!B42="None","",Calculations!D57)</f>
      </c>
      <c r="G16" s="200">
        <f>IF(F4="None","",B16*F16*$D16/$B$7)</f>
      </c>
      <c r="H16" s="29" t="s">
        <v>31</v>
      </c>
      <c r="I16" s="173"/>
      <c r="J16" s="171"/>
      <c r="K16" s="171"/>
    </row>
    <row r="17" spans="1:11" ht="15.75">
      <c r="A17" s="27" t="s">
        <v>61</v>
      </c>
      <c r="B17" s="185">
        <f>Calculations!B60</f>
        <v>2.2951175335732805</v>
      </c>
      <c r="C17" s="185">
        <f>IF('Data entry screen'!B43="None","",Calculations!C60)</f>
      </c>
      <c r="D17" s="197">
        <f t="shared" si="0"/>
        <v>0</v>
      </c>
      <c r="E17" s="208">
        <f>B17*$D17/$B$7</f>
        <v>0</v>
      </c>
      <c r="F17" s="12"/>
      <c r="G17" s="200">
        <f>IF(F5="None","",C17*$D17/$B$7)</f>
      </c>
      <c r="H17" s="29" t="s">
        <v>36</v>
      </c>
      <c r="I17" s="174"/>
      <c r="J17" s="171"/>
      <c r="K17" s="171"/>
    </row>
    <row r="18" spans="1:11" ht="15.75">
      <c r="A18" s="27" t="s">
        <v>86</v>
      </c>
      <c r="B18" s="185">
        <f>Calculations!B63</f>
        <v>0.6769548608495896</v>
      </c>
      <c r="C18" s="185"/>
      <c r="D18" s="197">
        <f t="shared" si="0"/>
        <v>0</v>
      </c>
      <c r="E18" s="208">
        <f>B18*$D18/$B$7</f>
        <v>0</v>
      </c>
      <c r="F18" s="12">
        <f>IF('Data entry screen'!D41="None","",Calculations!D63)</f>
      </c>
      <c r="G18" s="200">
        <f>IF(F6="None","",B18*F18*$D18/$B$7)</f>
      </c>
      <c r="H18" s="29" t="s">
        <v>32</v>
      </c>
      <c r="I18" s="174"/>
      <c r="J18" s="171"/>
      <c r="K18" s="171"/>
    </row>
    <row r="19" spans="1:11" ht="15.75">
      <c r="A19" s="27" t="s">
        <v>62</v>
      </c>
      <c r="B19" s="185">
        <f>Calculations!B66</f>
        <v>0.806060606060606</v>
      </c>
      <c r="C19" s="185"/>
      <c r="D19" s="197">
        <f t="shared" si="0"/>
        <v>0</v>
      </c>
      <c r="E19" s="208">
        <f>B19*$D19/$B$7</f>
        <v>0</v>
      </c>
      <c r="F19" s="12">
        <f>IF(AND('Data entry screen'!D41="None",'Data entry screen'!D43="None"),"",Calculations!D66)</f>
      </c>
      <c r="G19" s="200">
        <f>IF(AND(F8="None",F6="None"),"",B19*F19*$D19/$B$7)</f>
      </c>
      <c r="H19" s="29" t="s">
        <v>34</v>
      </c>
      <c r="I19" s="174"/>
      <c r="J19" s="276">
        <f>IF(ISNUMBER(G19),G19,IF(G19="",E19,""))</f>
        <v>0</v>
      </c>
      <c r="K19" s="171"/>
    </row>
    <row r="20" spans="1:11" ht="15.75">
      <c r="A20" s="27" t="s">
        <v>63</v>
      </c>
      <c r="B20" s="185">
        <f>IF(ISNUMBER(Calculations!B69),Calculations!B69,"not applicable")</f>
        <v>25.19038613053613</v>
      </c>
      <c r="C20" s="185">
        <f>IF('Data entry screen'!D42="None","",Calculations!C69)</f>
      </c>
      <c r="D20" s="197">
        <f t="shared" si="0"/>
        <v>0</v>
      </c>
      <c r="E20" s="209">
        <f>IF('Data entry screen'!$B$36="High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shorts","",IF(ISNUMBER(Calculations!B72),Calculations!B72,"not applicable"))</f>
        <v>17.08412631842649</v>
      </c>
      <c r="C21" s="19">
        <f>IF(AND(OR('Data entry screen'!B36="High crop, standard",'Data entry screen'!B36="High crop, intensive contact with treated crop",'Data entry screen'!B36="Low crop, intensive contact with treated crop"),'Data entry screen'!D45="Impervious clothing"),Calculations!C72,"")</f>
      </c>
      <c r="D21" s="198">
        <f t="shared" si="0"/>
        <v>0</v>
      </c>
      <c r="E21" s="186">
        <f>IF('Data entry screen'!$B$36="High crop, intensive contact with treated crop","",B21*$D21/$B$7)</f>
        <v>0</v>
      </c>
      <c r="F21" s="73">
        <f>IF(F9="T-shirt + shorts","",IF(AND('Data entry screen'!D45="Impervious clothing",OR('Data entry screen'!B36="Low crop, intensive contact with treated crop",'Data entry screen'!B36="High crop, intensive contact with treated crop")),"",IF(OR(AND('Data entry screen'!B36="High crop, standard",'Data entry screen'!D45="Coverall"),'Data entry screen'!B36="Low crop, standard",'Data entry screen'!B36="Low crop, intensive contact with treated crop",'Data entry screen'!B36="High crop, intensive contact with treated crop"),"",Calculations!D72)))</f>
      </c>
      <c r="G21" s="201">
        <f>IF(F9="T-shirt + shorts","",IF(F9="Coverall","",IF(AND(OR('Data entry screen'!B36="Low crop, intensive contact with treated crop",'Data entry screen'!B36="High crop, intensive contact with treated crop"),F9="Impervious clothing"),C21*D21/$B$7,IF('Data entry screen'!B36="Low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81</v>
      </c>
      <c r="E25" s="36" t="s">
        <v>58</v>
      </c>
      <c r="F25" s="34" t="s">
        <v>81</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100</v>
      </c>
      <c r="D27" s="101">
        <f>E17</f>
        <v>0</v>
      </c>
      <c r="E27" s="103">
        <f>IF(D27="","",IF(C27=0,"",D27*C27/100))</f>
        <v>0</v>
      </c>
      <c r="F27" s="101">
        <f>IF(ISNUMBER(G17),G17,IF(AND(ISNUMBER(E17),OR(ISNUMBER(G16),ISNUMBER(G18),ISNUMBER(G19),ISNUMBER(G20),ISNUMBER(G21))),E17,""))</f>
      </c>
      <c r="G27" s="103">
        <f>IF(C27=0,"",IF(ISNUMBER(F27),F27*C27/100,""))</f>
      </c>
      <c r="I27" s="177"/>
      <c r="J27" s="177"/>
      <c r="K27" s="171"/>
    </row>
    <row r="28" spans="1:11" ht="15.75">
      <c r="A28" s="68"/>
      <c r="B28" s="114" t="s">
        <v>4</v>
      </c>
      <c r="C28" s="271">
        <f>B10</f>
        <v>10</v>
      </c>
      <c r="D28" s="101">
        <f>IF(F9="T-shirt + shorts","",IF('Data entry screen'!$B$36="High crop, intensive contact with treated crop","",SUM(E19:E21)))</f>
        <v>0</v>
      </c>
      <c r="E28" s="103">
        <f>IF(D28="","",IF('Data entry screen'!B36="High crop, intensive contact with treated crop","",IF(C28=0,"",D28*C28/100)))</f>
        <v>0</v>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100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100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v>0</v>
      </c>
      <c r="F31" s="100"/>
      <c r="G31" s="77">
        <f>IF(AND(ISNUMBER(G27),ISNUMBER(G28),ISNUMBER(G29),ISNUMBER(G30)),SUM(G27:G30),"")</f>
      </c>
      <c r="I31" s="178"/>
      <c r="J31" s="179"/>
      <c r="K31" s="171"/>
    </row>
    <row r="32" spans="1:7" ht="15.75">
      <c r="A32" s="10" t="s">
        <v>378</v>
      </c>
      <c r="B32" s="10"/>
      <c r="C32" s="28"/>
      <c r="D32" s="102" t="s">
        <v>334</v>
      </c>
      <c r="E32" s="102"/>
      <c r="F32" s="102"/>
      <c r="G32" s="102"/>
    </row>
    <row r="33" spans="1:8" ht="92.25"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5905511811023623" bottom="0.3937007874015748" header="0.7086614173228347" footer="0.5118110236220472"/>
  <pageSetup fitToHeight="1" fitToWidth="1" horizontalDpi="1200" verticalDpi="1200" orientation="landscape" paperSize="9" scale="81" r:id="rId2"/>
  <ignoredErrors>
    <ignoredError sqref="E3" unlockedFormula="1"/>
    <ignoredError sqref="G17" formula="1"/>
  </ignoredErrors>
  <legacyDrawingHF r:id="rId1"/>
</worksheet>
</file>

<file path=xl/worksheets/sheet5.xml><?xml version="1.0" encoding="utf-8"?>
<worksheet xmlns="http://schemas.openxmlformats.org/spreadsheetml/2006/main" xmlns:r="http://schemas.openxmlformats.org/officeDocument/2006/relationships">
  <sheetPr codeName="Tabelle10">
    <pageSetUpPr fitToPage="1"/>
  </sheetPr>
  <dimension ref="A1:K43"/>
  <sheetViews>
    <sheetView zoomScale="75" zoomScaleNormal="75" zoomScalePageLayoutView="0" workbookViewId="0" topLeftCell="A7">
      <selection activeCell="G21" sqref="G21"/>
    </sheetView>
  </sheetViews>
  <sheetFormatPr defaultColWidth="11.421875" defaultRowHeight="12.75"/>
  <cols>
    <col min="1" max="1" width="24.57421875" style="3" customWidth="1"/>
    <col min="2" max="2" width="18.28125" style="3" customWidth="1"/>
    <col min="3" max="3" width="12.8515625" style="3" customWidth="1"/>
    <col min="4" max="4" width="17.7109375" style="3" customWidth="1"/>
    <col min="5" max="5" width="16.7109375" style="3" customWidth="1"/>
    <col min="6" max="6" width="17.28125" style="3" customWidth="1"/>
    <col min="7" max="7" width="16.7109375" style="3" customWidth="1"/>
    <col min="8" max="8" width="16.8515625" style="3"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screen'!B47</f>
        <v>Operator exposure estimate: Greenhouse model. High crop, standard</v>
      </c>
      <c r="B1" s="2"/>
      <c r="C1" s="2"/>
      <c r="I1" s="171" t="str">
        <f>'Data entry screen'!B47</f>
        <v>High crop, standard</v>
      </c>
    </row>
    <row r="2" spans="1:7" ht="15.75">
      <c r="A2" s="4" t="s">
        <v>6</v>
      </c>
      <c r="B2" s="70" t="str">
        <f>'Data entry screen'!$B$3</f>
        <v>Dummy</v>
      </c>
      <c r="C2" s="5"/>
      <c r="D2" s="6"/>
      <c r="E2" s="6"/>
      <c r="F2" s="6"/>
      <c r="G2" s="7"/>
    </row>
    <row r="3" spans="1:7" ht="15.75">
      <c r="A3" s="7" t="s">
        <v>24</v>
      </c>
      <c r="B3" s="66" t="str">
        <f>'Data entry screen'!$B$6</f>
        <v>Substance 1</v>
      </c>
      <c r="C3" s="8"/>
      <c r="D3" s="15" t="s">
        <v>92</v>
      </c>
      <c r="E3" s="75">
        <f>'Data entry screen'!B7</f>
        <v>100</v>
      </c>
      <c r="F3" s="3" t="s">
        <v>93</v>
      </c>
      <c r="G3" s="7"/>
    </row>
    <row r="4" spans="1:7" ht="15.75">
      <c r="A4" s="7" t="s">
        <v>5</v>
      </c>
      <c r="B4" s="66" t="str">
        <f>'Data entry screen'!$B$4</f>
        <v>WG</v>
      </c>
      <c r="C4" s="9"/>
      <c r="D4" s="15" t="s">
        <v>11</v>
      </c>
      <c r="E4" s="8" t="s">
        <v>25</v>
      </c>
      <c r="F4" s="8" t="str">
        <f>'Data entry screen'!B53</f>
        <v>None</v>
      </c>
      <c r="G4" s="25"/>
    </row>
    <row r="5" spans="1:7" ht="15.75">
      <c r="A5" s="7" t="s">
        <v>88</v>
      </c>
      <c r="B5" s="12">
        <f>'Data entry screen'!B48</f>
        <v>0</v>
      </c>
      <c r="C5" s="8"/>
      <c r="D5" s="8"/>
      <c r="E5" s="8" t="s">
        <v>26</v>
      </c>
      <c r="F5" s="8" t="str">
        <f>'Data entry screen'!B54</f>
        <v>None</v>
      </c>
      <c r="G5" s="25"/>
    </row>
    <row r="6" spans="1:7" ht="15.75">
      <c r="A6" s="7" t="s">
        <v>7</v>
      </c>
      <c r="B6" s="13">
        <f>'Data entry screen'!B50</f>
        <v>1</v>
      </c>
      <c r="C6" s="14"/>
      <c r="D6" s="15" t="s">
        <v>12</v>
      </c>
      <c r="E6" s="8" t="s">
        <v>25</v>
      </c>
      <c r="F6" s="8" t="str">
        <f>'Data entry screen'!D52</f>
        <v>None</v>
      </c>
      <c r="G6" s="7"/>
    </row>
    <row r="7" spans="1:7" ht="15.75">
      <c r="A7" s="7" t="s">
        <v>78</v>
      </c>
      <c r="B7" s="13">
        <f>'Data entry screen'!B5</f>
        <v>70</v>
      </c>
      <c r="C7" s="16"/>
      <c r="E7" s="8" t="s">
        <v>26</v>
      </c>
      <c r="F7" s="8" t="str">
        <f>'Data entry screen'!D53</f>
        <v>None</v>
      </c>
      <c r="G7" s="7"/>
    </row>
    <row r="8" spans="1:7" ht="15.75">
      <c r="A8" s="7" t="s">
        <v>53</v>
      </c>
      <c r="B8" s="13">
        <f>'Data entry screen'!B8</f>
        <v>100</v>
      </c>
      <c r="C8" s="8"/>
      <c r="E8" s="8" t="s">
        <v>27</v>
      </c>
      <c r="F8" s="8" t="str">
        <f>'Data entry screen'!D54</f>
        <v>None</v>
      </c>
      <c r="G8" s="7"/>
    </row>
    <row r="9" spans="1:7" ht="15.75">
      <c r="A9" s="7" t="s">
        <v>52</v>
      </c>
      <c r="B9" s="71">
        <f>'Data entry screen'!B10</f>
        <v>100</v>
      </c>
      <c r="C9" s="8" t="s">
        <v>79</v>
      </c>
      <c r="D9" s="10"/>
      <c r="E9" s="8" t="s">
        <v>28</v>
      </c>
      <c r="F9" s="8" t="str">
        <f>'Data entry screen'!D56</f>
        <v>Coverall</v>
      </c>
      <c r="G9" s="7"/>
    </row>
    <row r="10" spans="1:7" ht="15.75">
      <c r="A10" s="17"/>
      <c r="B10" s="72">
        <f>'Data entry screen'!B11</f>
        <v>10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Calculations!C78</f>
        <v>0.013343799427581531</v>
      </c>
      <c r="C16" s="185"/>
      <c r="D16" s="197">
        <f aca="true" t="shared" si="0" ref="D16:D21">$E$3*$B$5*$B$6/1000</f>
        <v>0</v>
      </c>
      <c r="E16" s="208">
        <f>B16*$D16/$B$7</f>
        <v>0</v>
      </c>
      <c r="F16" s="12">
        <f>IF('Data entry screen'!B53="None","",Calculations!D78)</f>
      </c>
      <c r="G16" s="200">
        <f>IF(F4="None","",B16*F16*$D16/$B$7)</f>
      </c>
      <c r="H16" s="29" t="s">
        <v>31</v>
      </c>
      <c r="I16" s="173"/>
      <c r="J16" s="171"/>
      <c r="K16" s="171"/>
    </row>
    <row r="17" spans="1:11" ht="15.75">
      <c r="A17" s="27" t="s">
        <v>61</v>
      </c>
      <c r="B17" s="185">
        <f>Calculations!B81</f>
        <v>2.2951175335732805</v>
      </c>
      <c r="C17" s="185">
        <f>IF('Data entry screen'!B54="None","",Calculations!C81)</f>
      </c>
      <c r="D17" s="197">
        <f t="shared" si="0"/>
        <v>0</v>
      </c>
      <c r="E17" s="208">
        <f>B17*$D17/$B$7</f>
        <v>0</v>
      </c>
      <c r="F17" s="12"/>
      <c r="G17" s="200">
        <f>IF(F5="None","",C17*$D17/$B$7)</f>
      </c>
      <c r="H17" s="29" t="s">
        <v>36</v>
      </c>
      <c r="I17" s="174"/>
      <c r="J17" s="171"/>
      <c r="K17" s="171"/>
    </row>
    <row r="18" spans="1:11" ht="15.75">
      <c r="A18" s="27" t="s">
        <v>86</v>
      </c>
      <c r="B18" s="185">
        <f>Calculations!B84</f>
        <v>0.6769548608495896</v>
      </c>
      <c r="C18" s="185"/>
      <c r="D18" s="197">
        <f t="shared" si="0"/>
        <v>0</v>
      </c>
      <c r="E18" s="208">
        <f>B18*$D18/$B$7</f>
        <v>0</v>
      </c>
      <c r="F18" s="12">
        <f>IF('Data entry screen'!D52="None","",Calculations!D84)</f>
      </c>
      <c r="G18" s="200">
        <f>IF(F6="None","",B18*F18*$D18/$B$7)</f>
      </c>
      <c r="H18" s="29" t="s">
        <v>32</v>
      </c>
      <c r="I18" s="174"/>
      <c r="J18" s="171"/>
      <c r="K18" s="171"/>
    </row>
    <row r="19" spans="1:11" ht="15.75">
      <c r="A19" s="27" t="s">
        <v>62</v>
      </c>
      <c r="B19" s="185">
        <f>Calculations!B87</f>
        <v>0.806060606060606</v>
      </c>
      <c r="C19" s="185"/>
      <c r="D19" s="197">
        <f t="shared" si="0"/>
        <v>0</v>
      </c>
      <c r="E19" s="208">
        <f>B19*$D19/$B$7</f>
        <v>0</v>
      </c>
      <c r="F19" s="12">
        <f>IF(AND('Data entry screen'!D52="None",'Data entry screen'!D54="None"),"",Calculations!D87)</f>
      </c>
      <c r="G19" s="200">
        <f>IF(AND(F8="None",F6="None"),"",B19*F19*$D19/$B$7)</f>
      </c>
      <c r="H19" s="29" t="s">
        <v>34</v>
      </c>
      <c r="I19" s="174"/>
      <c r="J19" s="276">
        <f>IF(ISNUMBER(G19),G19,IF(G19="",E19,""))</f>
        <v>0</v>
      </c>
      <c r="K19" s="171"/>
    </row>
    <row r="20" spans="1:11" ht="15.75">
      <c r="A20" s="27" t="s">
        <v>63</v>
      </c>
      <c r="B20" s="185">
        <f>IF(ISNUMBER(Calculations!B90),Calculations!B90,"not applicable")</f>
        <v>25.19038613053613</v>
      </c>
      <c r="C20" s="185">
        <f>IF('Data entry screen'!D53="None","",Calculations!C90)</f>
      </c>
      <c r="D20" s="197">
        <f t="shared" si="0"/>
        <v>0</v>
      </c>
      <c r="E20" s="209">
        <f>IF('Data entry screen'!$B$47="High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shorts","",IF(ISNUMBER(Calculations!B93),Calculations!B93,"not applicable"))</f>
        <v>17.08412631842649</v>
      </c>
      <c r="C21" s="19">
        <f>IF(AND(OR('Data entry screen'!B47="High crop, standard",'Data entry screen'!B47="High crop, intensive contact with treated crop",'Data entry screen'!B47="Low crop, intensive contact with treated crop"),'Data entry screen'!D56="Impervious clothing"),Calculations!C93,"")</f>
      </c>
      <c r="D21" s="198">
        <f t="shared" si="0"/>
        <v>0</v>
      </c>
      <c r="E21" s="186">
        <f>IF('Data entry screen'!$B$47="High crop, intensive contact with treated crop","",B21*$D21/$B$7)</f>
        <v>0</v>
      </c>
      <c r="F21" s="73">
        <f>IF(F9="T-shirt + shorts","",IF(AND('Data entry screen'!D56="Impervious clothing",OR('Data entry screen'!B47="Low crop, intensive contact with treated crop",'Data entry screen'!B47="High crop, intensive contact with treated crop")),"",IF(OR(AND('Data entry screen'!B47="High crop, standard",'Data entry screen'!D56="Coverall"),'Data entry screen'!B47="Low crop, standard",'Data entry screen'!B47="Low crop, intensive contact with treated crop",'Data entry screen'!B47="High crop, intensive contact with treated crop"),"",Calculations!D93)))</f>
      </c>
      <c r="G21" s="201">
        <f>IF(F9="T-shirt + shorts","",IF(F9="Coverall","",IF(AND(OR('Data entry screen'!B47="Low crop, intensive contact with treated crop",'Data entry screen'!B47="High crop, intensive contact with treated crop"),F9="Impervious clothing"),C21*D21/$B$7,IF('Data entry screen'!B47="Low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100</v>
      </c>
      <c r="D27" s="101">
        <f>E17</f>
        <v>0</v>
      </c>
      <c r="E27" s="278">
        <f>IF(D27="","",IF(C27=0,"",D27*C27/100))</f>
        <v>0</v>
      </c>
      <c r="F27" s="101">
        <f>IF(ISNUMBER(G17),G17,IF(AND(ISNUMBER(E17),OR(ISNUMBER(G16),ISNUMBER(G18),ISNUMBER(G19),ISNUMBER(G20),ISNUMBER(G21))),E17,""))</f>
      </c>
      <c r="G27" s="103">
        <f>IF(C27=0,"",IF(ISNUMBER(F27),F27*C27/100,""))</f>
      </c>
      <c r="I27" s="177"/>
      <c r="J27" s="177"/>
      <c r="K27" s="171"/>
    </row>
    <row r="28" spans="1:11" ht="15.75">
      <c r="A28" s="68"/>
      <c r="B28" s="114" t="s">
        <v>4</v>
      </c>
      <c r="C28" s="271">
        <f>B10</f>
        <v>10</v>
      </c>
      <c r="D28" s="101">
        <f>IF(F9="T-shirt + shorts","",IF('Data entry screen'!$B$47="High crop, intensive contact with treated crop","",SUM(E19:E21)))</f>
        <v>0</v>
      </c>
      <c r="E28" s="103">
        <f>IF(D28="","",IF('Data entry screen'!B47="High crop, intensive contact with treated crop","",IF(C28=0,"",D28*C28/100)))</f>
        <v>0</v>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100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100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v>0</v>
      </c>
      <c r="F31" s="100"/>
      <c r="G31" s="77">
        <f>IF(AND(ISNUMBER(G27),ISNUMBER(G28),ISNUMBER(G29),ISNUMBER(G30)),SUM(G27:G30),"")</f>
      </c>
      <c r="I31" s="178"/>
      <c r="J31" s="179"/>
      <c r="K31" s="171"/>
    </row>
    <row r="32" spans="1:7" ht="15.75">
      <c r="A32" s="10" t="s">
        <v>378</v>
      </c>
      <c r="B32" s="10"/>
      <c r="C32" s="28"/>
      <c r="D32" s="102" t="s">
        <v>334</v>
      </c>
      <c r="E32" s="102"/>
      <c r="F32" s="102"/>
      <c r="G32" s="102"/>
    </row>
    <row r="33" spans="1:8" ht="93"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row r="42" spans="4:7" ht="15.75">
      <c r="D42" s="168"/>
      <c r="E42" s="168"/>
      <c r="F42" s="168"/>
      <c r="G42" s="168"/>
    </row>
    <row r="43" spans="4:7" ht="15.75">
      <c r="D43" s="168"/>
      <c r="E43" s="168"/>
      <c r="F43" s="168"/>
      <c r="G43" s="168"/>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9" r:id="rId2"/>
  <ignoredErrors>
    <ignoredError sqref="G17" formula="1"/>
    <ignoredError sqref="E3" unlockedFormula="1"/>
  </ignoredErrors>
  <legacyDrawingHF r:id="rId1"/>
</worksheet>
</file>

<file path=xl/worksheets/sheet6.xml><?xml version="1.0" encoding="utf-8"?>
<worksheet xmlns="http://schemas.openxmlformats.org/spreadsheetml/2006/main" xmlns:r="http://schemas.openxmlformats.org/officeDocument/2006/relationships">
  <sheetPr codeName="Feuil3">
    <pageSetUpPr fitToPage="1"/>
  </sheetPr>
  <dimension ref="A1:O40"/>
  <sheetViews>
    <sheetView showGridLines="0" zoomScale="80" zoomScaleNormal="80" zoomScalePageLayoutView="0" workbookViewId="0" topLeftCell="A1">
      <selection activeCell="E26" sqref="E26"/>
    </sheetView>
  </sheetViews>
  <sheetFormatPr defaultColWidth="11.421875" defaultRowHeight="12.75"/>
  <cols>
    <col min="1" max="1" width="24.8515625" style="281" customWidth="1"/>
    <col min="2" max="2" width="17.28125" style="281" bestFit="1" customWidth="1"/>
    <col min="3" max="3" width="16.140625" style="281" bestFit="1" customWidth="1"/>
    <col min="4" max="4" width="24.8515625" style="281" bestFit="1" customWidth="1"/>
    <col min="5" max="7" width="16.7109375" style="281" customWidth="1"/>
    <col min="8" max="8" width="16.00390625" style="281" bestFit="1" customWidth="1"/>
    <col min="9" max="9" width="16.421875" style="171" customWidth="1"/>
    <col min="10" max="10" width="20.00390625" style="171" bestFit="1" customWidth="1"/>
    <col min="11" max="16384" width="11.421875" style="281" customWidth="1"/>
  </cols>
  <sheetData>
    <row r="1" spans="1:9" ht="15.75">
      <c r="A1" s="338" t="str">
        <f>"Operator exposure estimate: Greenhouse model. "&amp;'Data entry screen'!B14</f>
        <v>Operator exposure estimate: Greenhouse model. High crop, standard</v>
      </c>
      <c r="B1" s="339"/>
      <c r="C1" s="339"/>
      <c r="D1" s="340"/>
      <c r="E1" s="340"/>
      <c r="I1" s="171" t="str">
        <f>'Data entry screen'!B14</f>
        <v>High crop, standard</v>
      </c>
    </row>
    <row r="2" spans="1:7" ht="15.75">
      <c r="A2" s="282" t="s">
        <v>6</v>
      </c>
      <c r="B2" s="283" t="str">
        <f>'Data entry screen'!$B$3</f>
        <v>Dummy</v>
      </c>
      <c r="C2" s="284"/>
      <c r="D2" s="285"/>
      <c r="E2" s="285"/>
      <c r="F2" s="285"/>
      <c r="G2" s="286"/>
    </row>
    <row r="3" spans="1:7" ht="15.75">
      <c r="A3" s="286" t="s">
        <v>24</v>
      </c>
      <c r="B3" s="287" t="str">
        <f>'Data entry screen'!$B$6</f>
        <v>Substance 1</v>
      </c>
      <c r="C3" s="288"/>
      <c r="D3" s="289" t="s">
        <v>92</v>
      </c>
      <c r="E3" s="290">
        <f>'Data entry screen'!B7</f>
        <v>100</v>
      </c>
      <c r="F3" s="281" t="s">
        <v>93</v>
      </c>
      <c r="G3" s="286"/>
    </row>
    <row r="4" spans="1:7" ht="15.75">
      <c r="A4" s="286" t="s">
        <v>5</v>
      </c>
      <c r="B4" s="287" t="str">
        <f>'Data entry screen'!$B$4</f>
        <v>WG</v>
      </c>
      <c r="C4" s="291"/>
      <c r="D4" s="394" t="s">
        <v>11</v>
      </c>
      <c r="E4" s="395" t="s">
        <v>25</v>
      </c>
      <c r="F4" s="395" t="s">
        <v>3</v>
      </c>
      <c r="G4" s="292"/>
    </row>
    <row r="5" spans="1:7" ht="15.75">
      <c r="A5" s="286" t="s">
        <v>313</v>
      </c>
      <c r="B5" s="293">
        <f>'Data entry screen'!B15</f>
        <v>0</v>
      </c>
      <c r="C5" s="288"/>
      <c r="D5" s="395"/>
      <c r="E5" s="395" t="s">
        <v>26</v>
      </c>
      <c r="F5" s="395" t="s">
        <v>3</v>
      </c>
      <c r="G5" s="292"/>
    </row>
    <row r="6" spans="1:7" ht="15.75">
      <c r="A6" s="286" t="s">
        <v>7</v>
      </c>
      <c r="B6" s="294">
        <f>'Data entry screen'!B17</f>
        <v>1</v>
      </c>
      <c r="C6" s="295"/>
      <c r="D6" s="394" t="s">
        <v>12</v>
      </c>
      <c r="E6" s="395" t="s">
        <v>25</v>
      </c>
      <c r="F6" s="395" t="s">
        <v>3</v>
      </c>
      <c r="G6" s="286"/>
    </row>
    <row r="7" spans="1:7" ht="15.75">
      <c r="A7" s="286" t="s">
        <v>78</v>
      </c>
      <c r="B7" s="294">
        <f>'Data entry screen'!B5</f>
        <v>70</v>
      </c>
      <c r="C7" s="296"/>
      <c r="D7" s="396"/>
      <c r="E7" s="395" t="s">
        <v>26</v>
      </c>
      <c r="F7" s="395" t="s">
        <v>3</v>
      </c>
      <c r="G7" s="286"/>
    </row>
    <row r="8" spans="1:7" ht="15.75">
      <c r="A8" s="286" t="s">
        <v>53</v>
      </c>
      <c r="B8" s="294">
        <f>'Data entry screen'!B8</f>
        <v>100</v>
      </c>
      <c r="C8" s="288"/>
      <c r="D8" s="396"/>
      <c r="E8" s="395" t="s">
        <v>27</v>
      </c>
      <c r="F8" s="395" t="s">
        <v>3</v>
      </c>
      <c r="G8" s="286"/>
    </row>
    <row r="9" spans="1:7" ht="15.75">
      <c r="A9" s="286" t="s">
        <v>52</v>
      </c>
      <c r="B9" s="297">
        <f>'Data entry screen'!B10</f>
        <v>100</v>
      </c>
      <c r="C9" s="288" t="s">
        <v>79</v>
      </c>
      <c r="D9" s="397"/>
      <c r="E9" s="395" t="s">
        <v>28</v>
      </c>
      <c r="F9" s="395" t="s">
        <v>381</v>
      </c>
      <c r="G9" s="286"/>
    </row>
    <row r="10" spans="1:7" ht="15.75">
      <c r="A10" s="299"/>
      <c r="B10" s="300">
        <f>'Data entry screen'!B11</f>
        <v>10</v>
      </c>
      <c r="C10" s="301" t="s">
        <v>80</v>
      </c>
      <c r="D10" s="302"/>
      <c r="E10" s="302"/>
      <c r="F10" s="302"/>
      <c r="G10" s="286"/>
    </row>
    <row r="11" spans="1:3" ht="15.75">
      <c r="A11" s="288"/>
      <c r="B11" s="288"/>
      <c r="C11" s="303"/>
    </row>
    <row r="12" spans="1:3" ht="15.75">
      <c r="A12" s="686" t="s">
        <v>87</v>
      </c>
      <c r="B12" s="686"/>
      <c r="C12" s="486" t="str">
        <f>'Data entry screen'!D3</f>
        <v>75th percentile</v>
      </c>
    </row>
    <row r="13" spans="1:12" ht="46.5" customHeight="1">
      <c r="A13" s="697" t="s">
        <v>29</v>
      </c>
      <c r="B13" s="699" t="s">
        <v>377</v>
      </c>
      <c r="C13" s="699"/>
      <c r="D13" s="699" t="s">
        <v>40</v>
      </c>
      <c r="E13" s="690" t="s">
        <v>51</v>
      </c>
      <c r="F13" s="691"/>
      <c r="G13" s="319"/>
      <c r="H13" s="292"/>
      <c r="J13" s="700"/>
      <c r="K13" s="700"/>
      <c r="L13" s="700"/>
    </row>
    <row r="14" spans="1:15" ht="15.75">
      <c r="A14" s="698"/>
      <c r="B14" s="690" t="s">
        <v>394</v>
      </c>
      <c r="C14" s="691"/>
      <c r="D14" s="699"/>
      <c r="E14" s="690" t="s">
        <v>394</v>
      </c>
      <c r="F14" s="691"/>
      <c r="G14" s="406"/>
      <c r="H14" s="292"/>
      <c r="J14" s="170"/>
      <c r="O14" s="307"/>
    </row>
    <row r="15" spans="1:10" ht="15.75">
      <c r="A15" s="292"/>
      <c r="B15" s="398"/>
      <c r="C15" s="399"/>
      <c r="D15" s="400"/>
      <c r="E15" s="298"/>
      <c r="F15" s="308"/>
      <c r="G15" s="309" t="s">
        <v>30</v>
      </c>
      <c r="H15" s="280"/>
      <c r="J15" s="281"/>
    </row>
    <row r="16" spans="1:10" ht="15.75">
      <c r="A16" s="310" t="s">
        <v>383</v>
      </c>
      <c r="B16" s="695">
        <f>Calculations!C15</f>
        <v>0.013343799427581531</v>
      </c>
      <c r="C16" s="696"/>
      <c r="D16" s="401">
        <f aca="true" t="shared" si="0" ref="D16:D21">$E$3*$B$5*$B$6/1000</f>
        <v>0</v>
      </c>
      <c r="E16" s="692">
        <f>B16*$D16/$B$7</f>
        <v>0</v>
      </c>
      <c r="F16" s="693"/>
      <c r="G16" s="311" t="s">
        <v>31</v>
      </c>
      <c r="H16" s="171"/>
      <c r="I16" s="173"/>
      <c r="J16" s="281"/>
    </row>
    <row r="17" spans="1:10" ht="15.75">
      <c r="A17" s="310" t="s">
        <v>384</v>
      </c>
      <c r="B17" s="695">
        <f>Calculations!B18</f>
        <v>2.2951175335732805</v>
      </c>
      <c r="C17" s="696"/>
      <c r="D17" s="401">
        <f t="shared" si="0"/>
        <v>0</v>
      </c>
      <c r="E17" s="692">
        <f>B17*$D17/$B$7</f>
        <v>0</v>
      </c>
      <c r="F17" s="693"/>
      <c r="G17" s="311" t="s">
        <v>36</v>
      </c>
      <c r="H17" s="171"/>
      <c r="I17" s="174"/>
      <c r="J17" s="281"/>
    </row>
    <row r="18" spans="1:10" ht="15.75">
      <c r="A18" s="310" t="s">
        <v>385</v>
      </c>
      <c r="B18" s="695">
        <f>Calculations!B21</f>
        <v>0.6769548608495896</v>
      </c>
      <c r="C18" s="696"/>
      <c r="D18" s="401">
        <f t="shared" si="0"/>
        <v>0</v>
      </c>
      <c r="E18" s="692">
        <f>B18*$D18/$B$7</f>
        <v>0</v>
      </c>
      <c r="F18" s="693"/>
      <c r="G18" s="311" t="s">
        <v>32</v>
      </c>
      <c r="H18" s="171"/>
      <c r="I18" s="174"/>
      <c r="J18" s="281"/>
    </row>
    <row r="19" spans="1:10" ht="15.75">
      <c r="A19" s="310" t="s">
        <v>386</v>
      </c>
      <c r="B19" s="695">
        <f>Calculations!B24</f>
        <v>0.806060606060606</v>
      </c>
      <c r="C19" s="696"/>
      <c r="D19" s="401">
        <f t="shared" si="0"/>
        <v>0</v>
      </c>
      <c r="E19" s="692">
        <f>B19*$D19/$B$7</f>
        <v>0</v>
      </c>
      <c r="F19" s="693"/>
      <c r="G19" s="311" t="s">
        <v>34</v>
      </c>
      <c r="H19" s="171"/>
      <c r="I19" s="276"/>
      <c r="J19" s="281"/>
    </row>
    <row r="20" spans="1:10" ht="15.75">
      <c r="A20" s="310" t="s">
        <v>387</v>
      </c>
      <c r="B20" s="695">
        <f>IF(ISNUMBER(Calculations!B27),Calculations!B27,"not applicable")</f>
        <v>25.19038613053613</v>
      </c>
      <c r="C20" s="696"/>
      <c r="D20" s="401">
        <f t="shared" si="0"/>
        <v>0</v>
      </c>
      <c r="E20" s="703">
        <f>IF(ISNUMBER(B20),B20*$D20/$B$7,"")</f>
        <v>0</v>
      </c>
      <c r="F20" s="704"/>
      <c r="G20" s="311" t="s">
        <v>33</v>
      </c>
      <c r="H20" s="171"/>
      <c r="I20" s="277"/>
      <c r="J20" s="281"/>
    </row>
    <row r="21" spans="1:10" ht="15.75">
      <c r="A21" s="312" t="s">
        <v>388</v>
      </c>
      <c r="B21" s="688" t="str">
        <f>IF(AND('Data entry screen'!D23="T-shirt + shorts",ISNUMBER(Calculations!F30)),Calculations!F30,"not applicable")</f>
        <v>not applicable</v>
      </c>
      <c r="C21" s="689"/>
      <c r="D21" s="402">
        <f t="shared" si="0"/>
        <v>0</v>
      </c>
      <c r="E21" s="705" t="str">
        <f>IF(B21="not applicable","not applicable",B21*$D21/$B$7)</f>
        <v>not applicable</v>
      </c>
      <c r="F21" s="689"/>
      <c r="G21" s="313" t="s">
        <v>35</v>
      </c>
      <c r="H21" s="171"/>
      <c r="I21" s="277"/>
      <c r="J21" s="281"/>
    </row>
    <row r="22" ht="14.25" customHeight="1">
      <c r="A22" s="314"/>
    </row>
    <row r="23" spans="1:9" ht="15.75">
      <c r="A23" s="686" t="s">
        <v>395</v>
      </c>
      <c r="B23" s="686"/>
      <c r="C23" s="315"/>
      <c r="D23" s="701" t="s">
        <v>394</v>
      </c>
      <c r="E23" s="702"/>
      <c r="I23" s="175"/>
    </row>
    <row r="24" spans="1:10" ht="46.5">
      <c r="A24" s="316" t="s">
        <v>29</v>
      </c>
      <c r="B24" s="317"/>
      <c r="C24" s="305" t="s">
        <v>82</v>
      </c>
      <c r="D24" s="305" t="s">
        <v>389</v>
      </c>
      <c r="E24" s="318" t="s">
        <v>390</v>
      </c>
      <c r="F24" s="687" t="str">
        <f>"AOEL = "&amp;'Data entry screen'!B12&amp;" mg/kg bw/d"</f>
        <v>AOEL = 0,1 mg/kg bw/d</v>
      </c>
      <c r="G24" s="687"/>
      <c r="I24" s="169"/>
      <c r="J24" s="169"/>
    </row>
    <row r="25" spans="1:10" ht="15.75">
      <c r="A25" s="304"/>
      <c r="B25" s="285"/>
      <c r="C25" s="319"/>
      <c r="D25" s="319"/>
      <c r="E25" s="320"/>
      <c r="F25" s="680" t="s">
        <v>396</v>
      </c>
      <c r="G25" s="681"/>
      <c r="I25" s="176"/>
      <c r="J25" s="176"/>
    </row>
    <row r="26" spans="1:10" ht="15.75">
      <c r="A26" s="321" t="s">
        <v>83</v>
      </c>
      <c r="B26" s="298" t="s">
        <v>38</v>
      </c>
      <c r="C26" s="322">
        <f>B9</f>
        <v>100</v>
      </c>
      <c r="D26" s="403">
        <f>E17</f>
        <v>0</v>
      </c>
      <c r="E26" s="323">
        <f>D26*C26/100</f>
        <v>0</v>
      </c>
      <c r="F26" s="682"/>
      <c r="G26" s="683"/>
      <c r="I26" s="177"/>
      <c r="J26" s="177"/>
    </row>
    <row r="27" spans="1:10" ht="17.25" customHeight="1">
      <c r="A27" s="325"/>
      <c r="B27" s="326" t="s">
        <v>4</v>
      </c>
      <c r="C27" s="322">
        <f>B10</f>
        <v>10</v>
      </c>
      <c r="D27" s="403" t="str">
        <f>IF(AND(ISNUMBER(E19),ISNUMBER(E20),ISNUMBER(E21)),SUM(E19:E21),"not applicable")</f>
        <v>not applicable</v>
      </c>
      <c r="E27" s="323" t="str">
        <f>IF(D27="","",IF(D27="not applicable","not applicable",IF(C27=0,"",D27*C27/100)))</f>
        <v>not applicable</v>
      </c>
      <c r="F27" s="682"/>
      <c r="G27" s="683"/>
      <c r="I27" s="177"/>
      <c r="J27" s="177"/>
    </row>
    <row r="28" spans="1:10" ht="15.75">
      <c r="A28" s="321" t="s">
        <v>84</v>
      </c>
      <c r="B28" s="298" t="s">
        <v>38</v>
      </c>
      <c r="C28" s="327">
        <f>B8</f>
        <v>100</v>
      </c>
      <c r="D28" s="404">
        <f>E16</f>
        <v>0</v>
      </c>
      <c r="E28" s="328">
        <f>IF(D28="","",D28*C28/100)</f>
        <v>0</v>
      </c>
      <c r="F28" s="682"/>
      <c r="G28" s="683"/>
      <c r="I28" s="177"/>
      <c r="J28" s="177"/>
    </row>
    <row r="29" spans="1:10" ht="15.75">
      <c r="A29" s="306"/>
      <c r="B29" s="302" t="s">
        <v>4</v>
      </c>
      <c r="C29" s="329">
        <f>B8</f>
        <v>100</v>
      </c>
      <c r="D29" s="405">
        <f>E18</f>
        <v>0</v>
      </c>
      <c r="E29" s="324">
        <f>IF(D29="","",D29*C29/100)</f>
        <v>0</v>
      </c>
      <c r="F29" s="684"/>
      <c r="G29" s="685"/>
      <c r="I29" s="177"/>
      <c r="J29" s="177"/>
    </row>
    <row r="30" spans="1:10" ht="15.75">
      <c r="A30" s="330"/>
      <c r="B30" s="317"/>
      <c r="C30" s="336" t="s">
        <v>39</v>
      </c>
      <c r="D30" s="337"/>
      <c r="E30" s="335" t="str">
        <f>IF(AND(ISNUMBER(E26),ISNUMBER(E27),ISNUMBER(E28),ISNUMBER(E29)),SUM(E26:E29),"not applicable")</f>
        <v>not applicable</v>
      </c>
      <c r="F30" s="678" t="str">
        <f>IF(ISNUMBER(E30),E30*100/'Data entry screen'!B12,"not applicable")</f>
        <v>not applicable</v>
      </c>
      <c r="G30" s="679"/>
      <c r="I30" s="178"/>
      <c r="J30" s="179"/>
    </row>
    <row r="31" spans="1:7" ht="15.75">
      <c r="A31" s="298"/>
      <c r="B31" s="298"/>
      <c r="C31" s="331"/>
      <c r="D31" s="332"/>
      <c r="E31" s="332"/>
      <c r="F31" s="332"/>
      <c r="G31" s="332"/>
    </row>
    <row r="32" spans="1:8" ht="15.75">
      <c r="A32" s="694"/>
      <c r="B32" s="694"/>
      <c r="C32" s="694"/>
      <c r="D32" s="694"/>
      <c r="E32" s="694"/>
      <c r="F32" s="694"/>
      <c r="G32" s="694"/>
      <c r="H32" s="694"/>
    </row>
    <row r="33" spans="1:7" ht="15.75">
      <c r="A33" s="298"/>
      <c r="B33" s="298"/>
      <c r="C33" s="331"/>
      <c r="D33" s="333"/>
      <c r="E33" s="333"/>
      <c r="F33" s="333"/>
      <c r="G33" s="333"/>
    </row>
    <row r="34" spans="1:7" ht="15.75">
      <c r="A34" s="298"/>
      <c r="B34" s="298"/>
      <c r="C34" s="331"/>
      <c r="D34" s="334"/>
      <c r="E34" s="334"/>
      <c r="F34" s="334"/>
      <c r="G34" s="333"/>
    </row>
    <row r="35" spans="1:7" ht="15.75">
      <c r="A35" s="298"/>
      <c r="B35" s="298"/>
      <c r="C35" s="331"/>
      <c r="D35" s="334"/>
      <c r="E35" s="334"/>
      <c r="F35" s="334"/>
      <c r="G35" s="333"/>
    </row>
    <row r="36" spans="4:6" ht="15.75">
      <c r="D36" s="334"/>
      <c r="E36" s="334"/>
      <c r="F36" s="334"/>
    </row>
    <row r="37" spans="4:7" ht="15.75">
      <c r="D37" s="334"/>
      <c r="E37" s="334"/>
      <c r="F37" s="334"/>
      <c r="G37" s="333"/>
    </row>
    <row r="38" spans="4:7" ht="15.75">
      <c r="D38" s="333"/>
      <c r="E38" s="333"/>
      <c r="F38" s="333"/>
      <c r="G38" s="333"/>
    </row>
    <row r="39" spans="4:7" ht="15.75">
      <c r="D39" s="334"/>
      <c r="E39" s="334"/>
      <c r="F39" s="334"/>
      <c r="G39" s="333"/>
    </row>
    <row r="40" spans="4:7" ht="15.75">
      <c r="D40" s="334"/>
      <c r="E40" s="334"/>
      <c r="F40" s="334"/>
      <c r="G40" s="333"/>
    </row>
  </sheetData>
  <sheetProtection sheet="1" objects="1" scenarios="1" formatCells="0" formatColumns="0" formatRows="0"/>
  <mergeCells count="26">
    <mergeCell ref="B13:C13"/>
    <mergeCell ref="D13:D14"/>
    <mergeCell ref="J13:L13"/>
    <mergeCell ref="D23:E23"/>
    <mergeCell ref="E20:F20"/>
    <mergeCell ref="E21:F21"/>
    <mergeCell ref="A32:H32"/>
    <mergeCell ref="B14:C14"/>
    <mergeCell ref="B16:C16"/>
    <mergeCell ref="B17:C17"/>
    <mergeCell ref="B18:C18"/>
    <mergeCell ref="B19:C19"/>
    <mergeCell ref="B20:C20"/>
    <mergeCell ref="A13:A14"/>
    <mergeCell ref="E18:F18"/>
    <mergeCell ref="E19:F19"/>
    <mergeCell ref="F30:G30"/>
    <mergeCell ref="F25:G29"/>
    <mergeCell ref="A23:B23"/>
    <mergeCell ref="A12:B12"/>
    <mergeCell ref="F24:G24"/>
    <mergeCell ref="B21:C21"/>
    <mergeCell ref="E13:F13"/>
    <mergeCell ref="E14:F14"/>
    <mergeCell ref="E16:F16"/>
    <mergeCell ref="E17:F17"/>
  </mergeCells>
  <printOptions/>
  <pageMargins left="0.75" right="0.75" top="1" bottom="1" header="0.4921259845" footer="0.4921259845"/>
  <pageSetup fitToHeight="1" fitToWidth="1" horizontalDpi="600" verticalDpi="600" orientation="landscape" paperSize="9" scale="63" r:id="rId2"/>
  <headerFooter alignWithMargins="0">
    <oddHeader>&amp;R&amp;8&amp;G</oddHeader>
  </headerFooter>
  <legacyDrawingHF r:id="rId1"/>
</worksheet>
</file>

<file path=xl/worksheets/sheet7.xml><?xml version="1.0" encoding="utf-8"?>
<worksheet xmlns="http://schemas.openxmlformats.org/spreadsheetml/2006/main" xmlns:r="http://schemas.openxmlformats.org/officeDocument/2006/relationships">
  <sheetPr codeName="Tabelle5">
    <pageSetUpPr fitToPage="1"/>
  </sheetPr>
  <dimension ref="A1:K41"/>
  <sheetViews>
    <sheetView zoomScale="75" zoomScaleNormal="75" zoomScalePageLayoutView="0" workbookViewId="0" topLeftCell="A1">
      <selection activeCell="G21" sqref="G21"/>
    </sheetView>
  </sheetViews>
  <sheetFormatPr defaultColWidth="11.421875" defaultRowHeight="12.75"/>
  <cols>
    <col min="1" max="1" width="25.421875" style="3" customWidth="1"/>
    <col min="2" max="2" width="18.421875" style="3" customWidth="1"/>
    <col min="3" max="3" width="13.57421875" style="3" customWidth="1"/>
    <col min="4" max="4" width="17.851562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screen'!B14</f>
        <v>Operator exposure estimate: Greenhouse model. High crop, standard</v>
      </c>
      <c r="B1" s="2"/>
      <c r="C1" s="2"/>
      <c r="I1" s="171" t="str">
        <f>'Data entry screen'!B14</f>
        <v>High crop, standard</v>
      </c>
    </row>
    <row r="2" spans="1:7" ht="15.75">
      <c r="A2" s="4" t="s">
        <v>6</v>
      </c>
      <c r="B2" s="70" t="str">
        <f>'Data entry screen'!$B$3</f>
        <v>Dummy</v>
      </c>
      <c r="C2" s="5"/>
      <c r="D2" s="6"/>
      <c r="E2" s="6"/>
      <c r="F2" s="6"/>
      <c r="G2" s="7"/>
    </row>
    <row r="3" spans="1:7" ht="15.75">
      <c r="A3" s="7" t="s">
        <v>24</v>
      </c>
      <c r="B3" s="66" t="str">
        <f>'Data entry screen'!$C$6</f>
        <v>Substance 2</v>
      </c>
      <c r="C3" s="8"/>
      <c r="D3" s="15" t="s">
        <v>92</v>
      </c>
      <c r="E3" s="75">
        <f>'Data entry screen'!C7</f>
        <v>0</v>
      </c>
      <c r="F3" s="3" t="s">
        <v>93</v>
      </c>
      <c r="G3" s="7"/>
    </row>
    <row r="4" spans="1:7" ht="15.75">
      <c r="A4" s="7" t="s">
        <v>5</v>
      </c>
      <c r="B4" s="66" t="str">
        <f>'Data entry screen'!$B$4</f>
        <v>WG</v>
      </c>
      <c r="C4" s="9"/>
      <c r="D4" s="15" t="s">
        <v>11</v>
      </c>
      <c r="E4" s="8" t="s">
        <v>25</v>
      </c>
      <c r="F4" s="8" t="str">
        <f>'Data entry screen'!B20</f>
        <v>None</v>
      </c>
      <c r="G4" s="25"/>
    </row>
    <row r="5" spans="1:7" ht="15.75">
      <c r="A5" s="7" t="s">
        <v>88</v>
      </c>
      <c r="B5" s="12">
        <f>'Data entry screen'!B15</f>
        <v>0</v>
      </c>
      <c r="C5" s="8"/>
      <c r="D5" s="8"/>
      <c r="E5" s="8" t="s">
        <v>26</v>
      </c>
      <c r="F5" s="8" t="str">
        <f>'Data entry screen'!B21</f>
        <v>None</v>
      </c>
      <c r="G5" s="25"/>
    </row>
    <row r="6" spans="1:7" ht="15.75">
      <c r="A6" s="7" t="s">
        <v>7</v>
      </c>
      <c r="B6" s="13">
        <f>'Data entry screen'!B17</f>
        <v>1</v>
      </c>
      <c r="C6" s="14"/>
      <c r="D6" s="15" t="s">
        <v>12</v>
      </c>
      <c r="E6" s="8" t="s">
        <v>25</v>
      </c>
      <c r="F6" s="8" t="str">
        <f>'Data entry screen'!D19</f>
        <v>None</v>
      </c>
      <c r="G6" s="7"/>
    </row>
    <row r="7" spans="1:7" ht="15.75">
      <c r="A7" s="7" t="s">
        <v>78</v>
      </c>
      <c r="B7" s="13">
        <f>'Data entry screen'!B5</f>
        <v>70</v>
      </c>
      <c r="C7" s="16"/>
      <c r="E7" s="8" t="s">
        <v>26</v>
      </c>
      <c r="F7" s="8" t="str">
        <f>'Data entry screen'!D20</f>
        <v>None</v>
      </c>
      <c r="G7" s="7"/>
    </row>
    <row r="8" spans="1:7" ht="15.75">
      <c r="A8" s="7" t="s">
        <v>53</v>
      </c>
      <c r="B8" s="13">
        <f>'Data entry screen'!C8</f>
        <v>0</v>
      </c>
      <c r="C8" s="8"/>
      <c r="E8" s="8" t="s">
        <v>27</v>
      </c>
      <c r="F8" s="8" t="str">
        <f>'Data entry screen'!D21</f>
        <v>None</v>
      </c>
      <c r="G8" s="7"/>
    </row>
    <row r="9" spans="1:7" ht="15.75">
      <c r="A9" s="7" t="s">
        <v>52</v>
      </c>
      <c r="B9" s="71">
        <f>'Data entry screen'!C10</f>
        <v>0</v>
      </c>
      <c r="C9" s="8" t="s">
        <v>79</v>
      </c>
      <c r="D9" s="10"/>
      <c r="E9" s="8" t="s">
        <v>28</v>
      </c>
      <c r="F9" s="8" t="str">
        <f>'Data entry screen'!D23</f>
        <v>Coverall</v>
      </c>
      <c r="G9" s="7"/>
    </row>
    <row r="10" spans="1:7" ht="15.75">
      <c r="A10" s="17"/>
      <c r="B10" s="72">
        <f>'Data entry screen'!C11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Calculations!C15</f>
        <v>0.013343799427581531</v>
      </c>
      <c r="C16" s="185"/>
      <c r="D16" s="197">
        <f aca="true" t="shared" si="0" ref="D16:D21">$E$3*$B$5*$B$6/1000</f>
        <v>0</v>
      </c>
      <c r="E16" s="208">
        <f>B16*$D16/$B$7</f>
        <v>0</v>
      </c>
      <c r="F16" s="12">
        <f>IF('Data entry screen'!B20="None","",Calculations!D15)</f>
      </c>
      <c r="G16" s="200">
        <f>IF(F4="None","",B16*F16*$D16/$B$7)</f>
      </c>
      <c r="H16" s="29" t="s">
        <v>31</v>
      </c>
      <c r="I16" s="173"/>
      <c r="J16" s="171"/>
      <c r="K16" s="171"/>
    </row>
    <row r="17" spans="1:11" ht="15.75">
      <c r="A17" s="27" t="s">
        <v>61</v>
      </c>
      <c r="B17" s="185">
        <f>Calculations!B18</f>
        <v>2.2951175335732805</v>
      </c>
      <c r="C17" s="185">
        <f>IF('Data entry screen'!B21="None","",Calculations!C18)</f>
      </c>
      <c r="D17" s="197">
        <f t="shared" si="0"/>
        <v>0</v>
      </c>
      <c r="E17" s="208">
        <f>B17*$D17/$B$7</f>
        <v>0</v>
      </c>
      <c r="F17" s="12"/>
      <c r="G17" s="200">
        <f>IF(F5="None","",C17*$D17/$B$7)</f>
      </c>
      <c r="H17" s="29" t="s">
        <v>36</v>
      </c>
      <c r="I17" s="174"/>
      <c r="J17" s="171"/>
      <c r="K17" s="171"/>
    </row>
    <row r="18" spans="1:11" ht="15.75">
      <c r="A18" s="27" t="s">
        <v>86</v>
      </c>
      <c r="B18" s="185">
        <f>Calculations!B21</f>
        <v>0.6769548608495896</v>
      </c>
      <c r="C18" s="185"/>
      <c r="D18" s="197">
        <f t="shared" si="0"/>
        <v>0</v>
      </c>
      <c r="E18" s="208">
        <f>B18*$D18/$B$7</f>
        <v>0</v>
      </c>
      <c r="F18" s="12">
        <f>IF('Data entry screen'!D19="None","",Calculations!D21)</f>
      </c>
      <c r="G18" s="200">
        <f>IF(F6="None","",B18*F18*$D18/$B$7)</f>
      </c>
      <c r="H18" s="29" t="s">
        <v>32</v>
      </c>
      <c r="I18" s="174"/>
      <c r="J18" s="171"/>
      <c r="K18" s="171"/>
    </row>
    <row r="19" spans="1:11" ht="15.75">
      <c r="A19" s="27" t="s">
        <v>62</v>
      </c>
      <c r="B19" s="185">
        <f>Calculations!B24</f>
        <v>0.806060606060606</v>
      </c>
      <c r="C19" s="185"/>
      <c r="D19" s="197">
        <f t="shared" si="0"/>
        <v>0</v>
      </c>
      <c r="E19" s="208">
        <f>B19*$D19/$B$7</f>
        <v>0</v>
      </c>
      <c r="F19" s="12">
        <f>IF(AND('Data entry screen'!D19="None",'Data entry screen'!D21="None"),"",Calculations!D24)</f>
      </c>
      <c r="G19" s="200">
        <f>IF(AND(F8="None",F6="None"),"",B19*F19*$D19/$B$7)</f>
      </c>
      <c r="H19" s="29" t="s">
        <v>34</v>
      </c>
      <c r="I19" s="174"/>
      <c r="J19" s="276">
        <f>IF(ISNUMBER(G19),G19,IF(G19="",E19,""))</f>
        <v>0</v>
      </c>
      <c r="K19" s="171"/>
    </row>
    <row r="20" spans="1:11" ht="15.75">
      <c r="A20" s="27" t="s">
        <v>63</v>
      </c>
      <c r="B20" s="185">
        <f>IF(ISNUMBER(Calculations!B27),Calculations!B27,"not applicable")</f>
        <v>25.19038613053613</v>
      </c>
      <c r="C20" s="185">
        <f>IF('Data entry screen'!D20="None","",Calculations!C27)</f>
      </c>
      <c r="D20" s="197">
        <f t="shared" si="0"/>
        <v>0</v>
      </c>
      <c r="E20" s="209">
        <f>IF('Data entry screen'!$B$14="High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IF(ISNUMBER(Calculations!B30),Calculations!B30,"not applicable")</f>
        <v>17.08412631842649</v>
      </c>
      <c r="C21" s="19">
        <f>IF(AND(OR('Data entry screen'!B14="High crop, standard",'Data entry screen'!B14="High crop, intensive contact with treated crop",'Data entry screen'!B14="Low crop, intensive contact with treated crop"),'Data entry screen'!D23="Impervious clothing"),Calculations!C30,"")</f>
      </c>
      <c r="D21" s="198">
        <f t="shared" si="0"/>
        <v>0</v>
      </c>
      <c r="E21" s="186">
        <f>IF('Data entry screen'!$B$14="High crop, intensive contact with treated crop","",B21*$D21/$B$7)</f>
        <v>0</v>
      </c>
      <c r="F21" s="73">
        <f>IF(F9="T-shirt + shorts","",IF(AND('Data entry screen'!D23="Impervious clothing",OR('Data entry screen'!B14="Low crop, intensive contact with treated crop",'Data entry screen'!B14="High crop, intensive contact with treated crop")),"",IF(OR(AND('Data entry screen'!B14="High crop, standard",'Data entry screen'!D23="Coverall"),'Data entry screen'!B14="Low crop, standard",'Data entry screen'!B14="Low crop, intensive contact with treated crop",'Data entry screen'!B14="High crop, intensive contact with treated crop"),"",Calculations!D30)))</f>
      </c>
      <c r="G21" s="201">
        <f>IF(F9="T-shirt + shorts","",IF(F9="Coverall","",IF(AND(OR('Data entry screen'!B14="Low crop, intensive contact with treated crop",'Data entry screen'!B14="High crop, intensive contact with treated crop"),F9="Impervious clothing"),C21*D21/$B$7,IF('Data entry screen'!B14="Low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278">
        <f>IF(D27="","",IF(C27=0,"",D27*C27/100))</f>
      </c>
      <c r="F27" s="101">
        <f>IF(ISNUMBER(G17),G17,IF(AND(ISNUMBER(E17),OR(ISNUMBER(G16),ISNUMBER(G18),ISNUMBER(G19),ISNUMBER(G20),ISNUMBER(G21))),E17,""))</f>
      </c>
      <c r="G27" s="103">
        <f>IF(C27=0,"",IF(ISNUMBER(F27),F27*C27/100,""))</f>
      </c>
      <c r="I27" s="177"/>
      <c r="J27" s="177"/>
      <c r="K27" s="171"/>
    </row>
    <row r="28" spans="1:11" ht="15.75">
      <c r="A28" s="68"/>
      <c r="B28" s="114" t="s">
        <v>4</v>
      </c>
      <c r="C28" s="271">
        <f>B10</f>
        <v>0</v>
      </c>
      <c r="D28" s="101">
        <f>IF('Data entry screen'!$B$14="High crop, intensive contact with treated crop","",SUM(E19:E21))</f>
        <v>0</v>
      </c>
      <c r="E28" s="103">
        <f>IF('Data entry screen'!B14="High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80"/>
      <c r="J31" s="179"/>
      <c r="K31" s="171"/>
    </row>
    <row r="32" spans="1:7" ht="15.75">
      <c r="A32" s="10" t="s">
        <v>378</v>
      </c>
      <c r="B32" s="10"/>
      <c r="C32" s="28"/>
      <c r="D32" s="102" t="s">
        <v>334</v>
      </c>
      <c r="E32" s="102"/>
      <c r="F32" s="102"/>
      <c r="G32" s="102"/>
    </row>
    <row r="33" spans="1:8" ht="96.75"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E3" unlockedFormula="1"/>
    <ignoredError sqref="G17" formula="1"/>
  </ignoredErrors>
  <legacyDrawingHF r:id="rId1"/>
</worksheet>
</file>

<file path=xl/worksheets/sheet8.xml><?xml version="1.0" encoding="utf-8"?>
<worksheet xmlns="http://schemas.openxmlformats.org/spreadsheetml/2006/main" xmlns:r="http://schemas.openxmlformats.org/officeDocument/2006/relationships">
  <sheetPr codeName="Tabelle14">
    <pageSetUpPr fitToPage="1"/>
  </sheetPr>
  <dimension ref="A1:K41"/>
  <sheetViews>
    <sheetView zoomScale="75" zoomScaleNormal="75" zoomScalePageLayoutView="0" workbookViewId="0" topLeftCell="A1">
      <selection activeCell="F21" sqref="F21"/>
    </sheetView>
  </sheetViews>
  <sheetFormatPr defaultColWidth="11.421875" defaultRowHeight="12.75"/>
  <cols>
    <col min="1" max="1" width="24.57421875" style="3" customWidth="1"/>
    <col min="2" max="2" width="18.28125" style="3" customWidth="1"/>
    <col min="3" max="3" width="13.57421875" style="3" customWidth="1"/>
    <col min="4" max="4" width="18.42187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screen'!B25</f>
        <v>Operator exposure estimate: Greenhouse model. High crop, standard</v>
      </c>
      <c r="B1" s="2"/>
      <c r="C1" s="2"/>
      <c r="I1" s="171" t="str">
        <f>'Data entry screen'!B25</f>
        <v>High crop, standard</v>
      </c>
    </row>
    <row r="2" spans="1:7" ht="15.75">
      <c r="A2" s="4" t="s">
        <v>6</v>
      </c>
      <c r="B2" s="70" t="str">
        <f>'Data entry screen'!$B$3</f>
        <v>Dummy</v>
      </c>
      <c r="C2" s="5"/>
      <c r="D2" s="6"/>
      <c r="E2" s="6"/>
      <c r="F2" s="6"/>
      <c r="G2" s="7"/>
    </row>
    <row r="3" spans="1:7" ht="15.75">
      <c r="A3" s="7" t="s">
        <v>24</v>
      </c>
      <c r="B3" s="66" t="str">
        <f>'Data entry screen'!$C$6</f>
        <v>Substance 2</v>
      </c>
      <c r="C3" s="8"/>
      <c r="D3" s="15" t="s">
        <v>92</v>
      </c>
      <c r="E3" s="75">
        <f>'Data entry screen'!C7</f>
        <v>0</v>
      </c>
      <c r="F3" s="3" t="s">
        <v>93</v>
      </c>
      <c r="G3" s="7"/>
    </row>
    <row r="4" spans="1:7" ht="15.75">
      <c r="A4" s="7" t="s">
        <v>5</v>
      </c>
      <c r="B4" s="66" t="str">
        <f>'Data entry screen'!$B$4</f>
        <v>WG</v>
      </c>
      <c r="C4" s="9"/>
      <c r="D4" s="15" t="s">
        <v>11</v>
      </c>
      <c r="E4" s="8" t="s">
        <v>25</v>
      </c>
      <c r="F4" s="8" t="str">
        <f>'Data entry screen'!B31</f>
        <v>None</v>
      </c>
      <c r="G4" s="25"/>
    </row>
    <row r="5" spans="1:7" ht="15.75">
      <c r="A5" s="7" t="s">
        <v>88</v>
      </c>
      <c r="B5" s="12">
        <f>'Data entry screen'!B26</f>
        <v>0</v>
      </c>
      <c r="C5" s="8"/>
      <c r="D5" s="8"/>
      <c r="E5" s="8" t="s">
        <v>26</v>
      </c>
      <c r="F5" s="8" t="str">
        <f>'Data entry screen'!B32</f>
        <v>None</v>
      </c>
      <c r="G5" s="25"/>
    </row>
    <row r="6" spans="1:7" ht="15.75">
      <c r="A6" s="7" t="s">
        <v>7</v>
      </c>
      <c r="B6" s="13">
        <f>'Data entry screen'!B28</f>
        <v>1</v>
      </c>
      <c r="C6" s="14"/>
      <c r="D6" s="15" t="s">
        <v>12</v>
      </c>
      <c r="E6" s="8" t="s">
        <v>25</v>
      </c>
      <c r="F6" s="8" t="str">
        <f>'Data entry screen'!D30</f>
        <v>None</v>
      </c>
      <c r="G6" s="7"/>
    </row>
    <row r="7" spans="1:7" ht="15.75">
      <c r="A7" s="7" t="s">
        <v>78</v>
      </c>
      <c r="B7" s="13">
        <f>'Data entry screen'!B5</f>
        <v>70</v>
      </c>
      <c r="C7" s="16"/>
      <c r="E7" s="8" t="s">
        <v>26</v>
      </c>
      <c r="F7" s="8" t="str">
        <f>'Data entry screen'!D31</f>
        <v>None</v>
      </c>
      <c r="G7" s="7"/>
    </row>
    <row r="8" spans="1:7" ht="15.75">
      <c r="A8" s="7" t="s">
        <v>53</v>
      </c>
      <c r="B8" s="13">
        <f>'Data entry screen'!C8</f>
        <v>0</v>
      </c>
      <c r="C8" s="8"/>
      <c r="E8" s="8" t="s">
        <v>27</v>
      </c>
      <c r="F8" s="8" t="str">
        <f>'Data entry screen'!D32</f>
        <v>None</v>
      </c>
      <c r="G8" s="7"/>
    </row>
    <row r="9" spans="1:7" ht="15.75">
      <c r="A9" s="7" t="s">
        <v>52</v>
      </c>
      <c r="B9" s="71">
        <f>'Data entry screen'!C10</f>
        <v>0</v>
      </c>
      <c r="C9" s="8" t="s">
        <v>79</v>
      </c>
      <c r="D9" s="10"/>
      <c r="E9" s="8" t="s">
        <v>28</v>
      </c>
      <c r="F9" s="8" t="str">
        <f>'Data entry screen'!D34</f>
        <v>Coverall</v>
      </c>
      <c r="G9" s="7"/>
    </row>
    <row r="10" spans="1:7" ht="15.75">
      <c r="A10" s="17"/>
      <c r="B10" s="72">
        <f>'Data entry screen'!C11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Calculations!C36</f>
        <v>0.013343799427581531</v>
      </c>
      <c r="C16" s="185"/>
      <c r="D16" s="197">
        <f aca="true" t="shared" si="0" ref="D16:D21">$E$3*$B$5*$B$6/1000</f>
        <v>0</v>
      </c>
      <c r="E16" s="208">
        <f>B16*$D16/$B$7</f>
        <v>0</v>
      </c>
      <c r="F16" s="12">
        <f>IF('Data entry screen'!B31="None","",Calculations!D36)</f>
      </c>
      <c r="G16" s="200">
        <f>IF(F4="None","",B16*F16*$D16/$B$7)</f>
      </c>
      <c r="H16" s="29" t="s">
        <v>31</v>
      </c>
      <c r="I16" s="173"/>
      <c r="J16" s="171"/>
      <c r="K16" s="171"/>
    </row>
    <row r="17" spans="1:11" ht="15.75">
      <c r="A17" s="27" t="s">
        <v>61</v>
      </c>
      <c r="B17" s="185">
        <f>Calculations!B39</f>
        <v>2.2951175335732805</v>
      </c>
      <c r="C17" s="185">
        <f>IF('Data entry screen'!B32="None","",Calculations!C39)</f>
      </c>
      <c r="D17" s="197">
        <f t="shared" si="0"/>
        <v>0</v>
      </c>
      <c r="E17" s="208">
        <f>B17*$D17/$B$7</f>
        <v>0</v>
      </c>
      <c r="F17" s="12"/>
      <c r="G17" s="200">
        <f>IF(F5="None","",C17*$D17/$B$7)</f>
      </c>
      <c r="H17" s="29" t="s">
        <v>36</v>
      </c>
      <c r="I17" s="174"/>
      <c r="J17" s="171"/>
      <c r="K17" s="171"/>
    </row>
    <row r="18" spans="1:11" ht="15.75">
      <c r="A18" s="27" t="s">
        <v>86</v>
      </c>
      <c r="B18" s="185">
        <f>Calculations!B42</f>
        <v>0.6769548608495896</v>
      </c>
      <c r="C18" s="185"/>
      <c r="D18" s="197">
        <f t="shared" si="0"/>
        <v>0</v>
      </c>
      <c r="E18" s="208">
        <f>B18*$D18/$B$7</f>
        <v>0</v>
      </c>
      <c r="F18" s="12">
        <f>IF('Data entry screen'!D30="None","",Calculations!D42)</f>
      </c>
      <c r="G18" s="200">
        <f>IF(F6="None","",B18*F18*$D18/$B$7)</f>
      </c>
      <c r="H18" s="29" t="s">
        <v>32</v>
      </c>
      <c r="I18" s="174"/>
      <c r="J18" s="171"/>
      <c r="K18" s="171"/>
    </row>
    <row r="19" spans="1:11" ht="15.75">
      <c r="A19" s="27" t="s">
        <v>62</v>
      </c>
      <c r="B19" s="185">
        <f>Calculations!B45</f>
        <v>0.806060606060606</v>
      </c>
      <c r="C19" s="185"/>
      <c r="D19" s="197">
        <f t="shared" si="0"/>
        <v>0</v>
      </c>
      <c r="E19" s="208">
        <f>B19*$D19/$B$7</f>
        <v>0</v>
      </c>
      <c r="F19" s="12">
        <f>IF(AND('Data entry screen'!D30="None",'Data entry screen'!D32="None"),"",Calculations!D45)</f>
      </c>
      <c r="G19" s="200">
        <f>IF(AND(F8="None",F6="None"),"",B19*F19*$D19/$B$7)</f>
      </c>
      <c r="H19" s="29" t="s">
        <v>34</v>
      </c>
      <c r="I19" s="174"/>
      <c r="J19" s="276">
        <f>IF(ISNUMBER(G19),G19,IF(G19="",E19,""))</f>
        <v>0</v>
      </c>
      <c r="K19" s="171"/>
    </row>
    <row r="20" spans="1:11" ht="15.75">
      <c r="A20" s="27" t="s">
        <v>63</v>
      </c>
      <c r="B20" s="185">
        <f>IF(ISNUMBER(Calculations!B48),Calculations!B48,"not applicable")</f>
        <v>25.19038613053613</v>
      </c>
      <c r="C20" s="185">
        <f>IF('Data entry screen'!D31="None","",Calculations!C48)</f>
      </c>
      <c r="D20" s="197">
        <f t="shared" si="0"/>
        <v>0</v>
      </c>
      <c r="E20" s="209">
        <f>IF('Data entry screen'!$B$25="High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shorts","",IF(ISNUMBER(Calculations!B51),Calculations!B51,"not applicable"))</f>
        <v>17.08412631842649</v>
      </c>
      <c r="C21" s="19">
        <f>IF(AND(OR('Data entry screen'!B25="High crop, standard",'Data entry screen'!B25="High crop, intensive contact with treated crop",'Data entry screen'!B25="Low crop, intensive contact with treated crop"),'Data entry screen'!D34="Impervious clothing"),Calculations!C51,"")</f>
      </c>
      <c r="D21" s="198">
        <f t="shared" si="0"/>
        <v>0</v>
      </c>
      <c r="E21" s="186">
        <f>IF('Data entry screen'!$B$25="High crop, intensive contact with treated crop","",B21*$D21/$B$7)</f>
        <v>0</v>
      </c>
      <c r="F21" s="73">
        <f>IF(F9="T-shirt + shorts","",IF(AND('Data entry screen'!D34="Impervious clothing",OR('Data entry screen'!B25="Low crop, intensive contact with treated crop",'Data entry screen'!B25="High crop, intensive contact with treated crop")),"",IF(OR(AND('Data entry screen'!B25="High crop, standard",'Data entry screen'!D34="Coverall"),'Data entry screen'!B25="Low crop, standard",'Data entry screen'!B25="Low crop, intensive contact with treated crop",'Data entry screen'!B25="High crop, intensive contact with treated crop"),"",Calculations!D51)))</f>
      </c>
      <c r="G21" s="201">
        <f>IF(F9="T-shirt + shorts","",IF(F9="Coverall","",IF(AND(OR('Data entry screen'!B25="Low crop, intensive contact with treated crop",'Data entry screen'!B25="High crop, intensive contact with treated crop"),F9="Impervious clothing"),C21*D21/$B$7,IF('Data entry screen'!B25="Low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278">
        <f>IF(D27="","",IF(C27=0,"",D27*C27/100))</f>
      </c>
      <c r="F27" s="101">
        <f>IF(ISNUMBER(G17),G17,IF(AND(ISNUMBER(E17),OR(ISNUMBER(G16),ISNUMBER(G18),ISNUMBER(G19),ISNUMBER(G20),ISNUMBER(G21))),E17,""))</f>
      </c>
      <c r="G27" s="103">
        <f>IF(C27=0,"",IF(ISNUMBER(F27),F27*C27/100,""))</f>
      </c>
      <c r="I27" s="177"/>
      <c r="J27" s="177"/>
      <c r="K27" s="171"/>
    </row>
    <row r="28" spans="1:11" ht="15.75">
      <c r="A28" s="68"/>
      <c r="B28" s="114" t="s">
        <v>4</v>
      </c>
      <c r="C28" s="271">
        <f>B10</f>
        <v>0</v>
      </c>
      <c r="D28" s="101">
        <f>IF(F9="T-shirt + shorts","",IF('Data entry screen'!$B$25="High crop, intensive contact with treated crop","",SUM(E19:E21)))</f>
        <v>0</v>
      </c>
      <c r="E28" s="103">
        <f>IF(D28="","",IF('Data entry screen'!B25="High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80"/>
      <c r="J31" s="179"/>
      <c r="K31" s="171"/>
    </row>
    <row r="32" spans="1:7" ht="15.75">
      <c r="A32" s="10" t="s">
        <v>378</v>
      </c>
      <c r="B32" s="10"/>
      <c r="C32" s="28"/>
      <c r="D32" s="102" t="s">
        <v>334</v>
      </c>
      <c r="E32" s="102"/>
      <c r="F32" s="102"/>
      <c r="G32" s="102"/>
    </row>
    <row r="33" spans="1:8" ht="96"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G17" formula="1"/>
    <ignoredError sqref="E3" unlockedFormula="1"/>
  </ignoredErrors>
  <legacyDrawingHF r:id="rId1"/>
</worksheet>
</file>

<file path=xl/worksheets/sheet9.xml><?xml version="1.0" encoding="utf-8"?>
<worksheet xmlns="http://schemas.openxmlformats.org/spreadsheetml/2006/main" xmlns:r="http://schemas.openxmlformats.org/officeDocument/2006/relationships">
  <sheetPr codeName="Tabelle15">
    <pageSetUpPr fitToPage="1"/>
  </sheetPr>
  <dimension ref="A1:K41"/>
  <sheetViews>
    <sheetView zoomScale="75" zoomScaleNormal="75" zoomScalePageLayoutView="0" workbookViewId="0" topLeftCell="A1">
      <selection activeCell="G21" sqref="G21"/>
    </sheetView>
  </sheetViews>
  <sheetFormatPr defaultColWidth="11.421875" defaultRowHeight="12.75"/>
  <cols>
    <col min="1" max="1" width="24.7109375" style="3" customWidth="1"/>
    <col min="2" max="2" width="17.7109375" style="3" customWidth="1"/>
    <col min="3" max="3" width="13.421875" style="3" customWidth="1"/>
    <col min="4" max="4" width="18.57421875" style="3" customWidth="1"/>
    <col min="5" max="7" width="16.7109375" style="3" customWidth="1"/>
    <col min="8" max="8" width="16.00390625" style="3" bestFit="1" customWidth="1"/>
    <col min="9" max="9" width="14.8515625" style="3" bestFit="1" customWidth="1"/>
    <col min="10" max="10" width="14.57421875" style="3" bestFit="1" customWidth="1"/>
    <col min="11" max="16384" width="11.421875" style="3" customWidth="1"/>
  </cols>
  <sheetData>
    <row r="1" spans="1:9" ht="15.75">
      <c r="A1" s="1" t="str">
        <f>"Operator exposure estimate: Greenhouse model. "&amp;'Data entry screen'!B36</f>
        <v>Operator exposure estimate: Greenhouse model. High crop, standard</v>
      </c>
      <c r="B1" s="2"/>
      <c r="C1" s="2"/>
      <c r="I1" s="171" t="str">
        <f>'Data entry screen'!B36</f>
        <v>High crop, standard</v>
      </c>
    </row>
    <row r="2" spans="1:7" ht="15.75">
      <c r="A2" s="4" t="s">
        <v>6</v>
      </c>
      <c r="B2" s="70" t="str">
        <f>'Data entry screen'!$B$3</f>
        <v>Dummy</v>
      </c>
      <c r="C2" s="5"/>
      <c r="D2" s="6"/>
      <c r="E2" s="6"/>
      <c r="F2" s="6"/>
      <c r="G2" s="7"/>
    </row>
    <row r="3" spans="1:7" ht="15.75">
      <c r="A3" s="7" t="s">
        <v>24</v>
      </c>
      <c r="B3" s="66" t="str">
        <f>'Data entry screen'!$C$6</f>
        <v>Substance 2</v>
      </c>
      <c r="C3" s="8"/>
      <c r="D3" s="15" t="s">
        <v>92</v>
      </c>
      <c r="E3" s="75">
        <f>'Data entry screen'!C7</f>
        <v>0</v>
      </c>
      <c r="F3" s="3" t="s">
        <v>93</v>
      </c>
      <c r="G3" s="7"/>
    </row>
    <row r="4" spans="1:7" ht="15.75">
      <c r="A4" s="7" t="s">
        <v>5</v>
      </c>
      <c r="B4" s="66" t="str">
        <f>'Data entry screen'!$B$4</f>
        <v>WG</v>
      </c>
      <c r="C4" s="9"/>
      <c r="D4" s="15" t="s">
        <v>11</v>
      </c>
      <c r="E4" s="8" t="s">
        <v>25</v>
      </c>
      <c r="F4" s="8" t="str">
        <f>'Data entry screen'!B42</f>
        <v>None</v>
      </c>
      <c r="G4" s="25"/>
    </row>
    <row r="5" spans="1:7" ht="15.75">
      <c r="A5" s="7" t="s">
        <v>88</v>
      </c>
      <c r="B5" s="12">
        <f>'Data entry screen'!B37</f>
        <v>0</v>
      </c>
      <c r="C5" s="8"/>
      <c r="D5" s="8"/>
      <c r="E5" s="8" t="s">
        <v>26</v>
      </c>
      <c r="F5" s="8" t="str">
        <f>'Data entry screen'!B43</f>
        <v>None</v>
      </c>
      <c r="G5" s="25"/>
    </row>
    <row r="6" spans="1:7" ht="15.75">
      <c r="A6" s="7" t="s">
        <v>7</v>
      </c>
      <c r="B6" s="13">
        <f>'Data entry screen'!B39</f>
        <v>1</v>
      </c>
      <c r="C6" s="14"/>
      <c r="D6" s="15" t="s">
        <v>12</v>
      </c>
      <c r="E6" s="8" t="s">
        <v>25</v>
      </c>
      <c r="F6" s="8" t="str">
        <f>'Data entry screen'!D41</f>
        <v>None</v>
      </c>
      <c r="G6" s="7"/>
    </row>
    <row r="7" spans="1:7" ht="15.75">
      <c r="A7" s="7" t="s">
        <v>78</v>
      </c>
      <c r="B7" s="13">
        <f>'Data entry screen'!B5</f>
        <v>70</v>
      </c>
      <c r="C7" s="16"/>
      <c r="E7" s="8" t="s">
        <v>26</v>
      </c>
      <c r="F7" s="8" t="str">
        <f>'Data entry screen'!D42</f>
        <v>None</v>
      </c>
      <c r="G7" s="7"/>
    </row>
    <row r="8" spans="1:7" ht="15.75">
      <c r="A8" s="7" t="s">
        <v>53</v>
      </c>
      <c r="B8" s="13">
        <f>'Data entry screen'!C8</f>
        <v>0</v>
      </c>
      <c r="C8" s="8"/>
      <c r="E8" s="8" t="s">
        <v>27</v>
      </c>
      <c r="F8" s="8" t="str">
        <f>'Data entry screen'!D43</f>
        <v>None</v>
      </c>
      <c r="G8" s="7"/>
    </row>
    <row r="9" spans="1:7" ht="15.75">
      <c r="A9" s="7" t="s">
        <v>52</v>
      </c>
      <c r="B9" s="71">
        <f>'Data entry screen'!C10</f>
        <v>0</v>
      </c>
      <c r="C9" s="8" t="s">
        <v>79</v>
      </c>
      <c r="D9" s="10"/>
      <c r="E9" s="8" t="s">
        <v>28</v>
      </c>
      <c r="F9" s="8" t="str">
        <f>'Data entry screen'!D45</f>
        <v>Coverall</v>
      </c>
      <c r="G9" s="7"/>
    </row>
    <row r="10" spans="1:7" ht="15.75">
      <c r="A10" s="17"/>
      <c r="B10" s="72">
        <f>'Data entry screen'!C11</f>
        <v>0</v>
      </c>
      <c r="C10" s="18" t="s">
        <v>80</v>
      </c>
      <c r="D10" s="19"/>
      <c r="E10" s="19"/>
      <c r="F10" s="19"/>
      <c r="G10" s="7"/>
    </row>
    <row r="11" spans="1:3" ht="15.75">
      <c r="A11" s="8"/>
      <c r="B11" s="8"/>
      <c r="C11" s="20"/>
    </row>
    <row r="12" spans="1:3" ht="15.75">
      <c r="A12" s="1" t="s">
        <v>87</v>
      </c>
      <c r="B12" s="2"/>
      <c r="C12" s="21"/>
    </row>
    <row r="13" spans="1:11" ht="46.5" customHeight="1">
      <c r="A13" s="674" t="s">
        <v>29</v>
      </c>
      <c r="B13" s="677" t="s">
        <v>377</v>
      </c>
      <c r="C13" s="677"/>
      <c r="D13" s="677" t="s">
        <v>40</v>
      </c>
      <c r="E13" s="677" t="s">
        <v>51</v>
      </c>
      <c r="F13" s="677"/>
      <c r="G13" s="677"/>
      <c r="H13" s="25"/>
      <c r="I13" s="673"/>
      <c r="J13" s="673"/>
      <c r="K13" s="673"/>
    </row>
    <row r="14" spans="1:11" ht="15.75">
      <c r="A14" s="675"/>
      <c r="B14" s="264" t="s">
        <v>357</v>
      </c>
      <c r="C14" s="264" t="s">
        <v>358</v>
      </c>
      <c r="D14" s="677"/>
      <c r="E14" s="264" t="s">
        <v>305</v>
      </c>
      <c r="F14" s="269" t="s">
        <v>54</v>
      </c>
      <c r="G14" s="269" t="s">
        <v>314</v>
      </c>
      <c r="H14" s="38"/>
      <c r="I14" s="170"/>
      <c r="J14" s="171"/>
      <c r="K14" s="171"/>
    </row>
    <row r="15" spans="1:11" ht="15.75">
      <c r="A15" s="25"/>
      <c r="B15" s="10"/>
      <c r="C15" s="10"/>
      <c r="D15" s="10"/>
      <c r="E15" s="10"/>
      <c r="F15" s="10"/>
      <c r="G15" s="11"/>
      <c r="H15" s="26" t="s">
        <v>30</v>
      </c>
      <c r="I15" s="171"/>
      <c r="J15" s="171"/>
      <c r="K15" s="171"/>
    </row>
    <row r="16" spans="1:11" ht="15.75">
      <c r="A16" s="27" t="s">
        <v>85</v>
      </c>
      <c r="B16" s="185">
        <f>Calculations!C57</f>
        <v>0.013343799427581531</v>
      </c>
      <c r="C16" s="185"/>
      <c r="D16" s="197">
        <f aca="true" t="shared" si="0" ref="D16:D21">$E$3*$B$5*$B$6/1000</f>
        <v>0</v>
      </c>
      <c r="E16" s="208">
        <f>B16*$D16/$B$7</f>
        <v>0</v>
      </c>
      <c r="F16" s="12">
        <f>IF('Data entry screen'!B42="None","",Calculations!D57)</f>
      </c>
      <c r="G16" s="200">
        <f>IF(F4="None","",B16*F16*$D16/$B$7)</f>
      </c>
      <c r="H16" s="29" t="s">
        <v>31</v>
      </c>
      <c r="I16" s="173"/>
      <c r="J16" s="171"/>
      <c r="K16" s="171"/>
    </row>
    <row r="17" spans="1:11" ht="15.75">
      <c r="A17" s="27" t="s">
        <v>61</v>
      </c>
      <c r="B17" s="185">
        <f>Calculations!B60</f>
        <v>2.2951175335732805</v>
      </c>
      <c r="C17" s="185">
        <f>IF('Data entry screen'!B43="None","",Calculations!C60)</f>
      </c>
      <c r="D17" s="197">
        <f t="shared" si="0"/>
        <v>0</v>
      </c>
      <c r="E17" s="208">
        <f>B17*$D17/$B$7</f>
        <v>0</v>
      </c>
      <c r="F17" s="12"/>
      <c r="G17" s="200">
        <f>IF(F5="None","",C17*$D17/$B$7)</f>
      </c>
      <c r="H17" s="29" t="s">
        <v>36</v>
      </c>
      <c r="I17" s="174"/>
      <c r="J17" s="171"/>
      <c r="K17" s="171"/>
    </row>
    <row r="18" spans="1:11" ht="15.75">
      <c r="A18" s="27" t="s">
        <v>86</v>
      </c>
      <c r="B18" s="185">
        <f>Calculations!B63</f>
        <v>0.6769548608495896</v>
      </c>
      <c r="C18" s="185"/>
      <c r="D18" s="197">
        <f t="shared" si="0"/>
        <v>0</v>
      </c>
      <c r="E18" s="208">
        <f>B18*$D18/$B$7</f>
        <v>0</v>
      </c>
      <c r="F18" s="12">
        <f>IF('Data entry screen'!D41="None","",Calculations!D63)</f>
      </c>
      <c r="G18" s="200">
        <f>IF(F6="None","",B18*F18*$D18/$B$7)</f>
      </c>
      <c r="H18" s="29" t="s">
        <v>32</v>
      </c>
      <c r="I18" s="174"/>
      <c r="J18" s="171"/>
      <c r="K18" s="171"/>
    </row>
    <row r="19" spans="1:11" ht="15.75">
      <c r="A19" s="27" t="s">
        <v>62</v>
      </c>
      <c r="B19" s="185">
        <f>Calculations!B66</f>
        <v>0.806060606060606</v>
      </c>
      <c r="C19" s="185"/>
      <c r="D19" s="197">
        <f t="shared" si="0"/>
        <v>0</v>
      </c>
      <c r="E19" s="208">
        <f>B19*$D19/$B$7</f>
        <v>0</v>
      </c>
      <c r="F19" s="12">
        <f>IF(AND('Data entry screen'!D41="None",'Data entry screen'!D43="None"),"",Calculations!D66)</f>
      </c>
      <c r="G19" s="200">
        <f>IF(AND(F8="None",F6="None"),"",B19*F19*$D19/$B$7)</f>
      </c>
      <c r="H19" s="29" t="s">
        <v>34</v>
      </c>
      <c r="I19" s="174"/>
      <c r="J19" s="276">
        <f>IF(ISNUMBER(G19),G19,IF(G19="",E19,""))</f>
        <v>0</v>
      </c>
      <c r="K19" s="171"/>
    </row>
    <row r="20" spans="1:11" ht="15.75">
      <c r="A20" s="27" t="s">
        <v>63</v>
      </c>
      <c r="B20" s="185">
        <f>IF(ISNUMBER(Calculations!B69),Calculations!B69,"not applicable")</f>
        <v>25.19038613053613</v>
      </c>
      <c r="C20" s="185">
        <f>IF('Data entry screen'!D42="None","",Calculations!C69)</f>
      </c>
      <c r="D20" s="197">
        <f t="shared" si="0"/>
        <v>0</v>
      </c>
      <c r="E20" s="209">
        <f>IF('Data entry screen'!$B$36="High crop, intensive contact with treated crop","",B20*$D20/$B$7)</f>
        <v>0</v>
      </c>
      <c r="F20" s="12"/>
      <c r="G20" s="193">
        <f>IF(AND(F7="None",B20="not applicable"),"",IF(F7="None","",C20*$D20/$B$7))</f>
      </c>
      <c r="H20" s="29" t="s">
        <v>33</v>
      </c>
      <c r="I20" s="174"/>
      <c r="J20" s="277">
        <f>IF(ISNUMBER(G20),G20,IF(G20="",E20,""))</f>
        <v>0</v>
      </c>
      <c r="K20" s="171"/>
    </row>
    <row r="21" spans="1:11" ht="15.75">
      <c r="A21" s="30" t="s">
        <v>64</v>
      </c>
      <c r="B21" s="186">
        <f>IF(F9="T-shirt + shorts","",IF(ISNUMBER(Calculations!B72),Calculations!B72,"not applicable"))</f>
        <v>17.08412631842649</v>
      </c>
      <c r="C21" s="19">
        <f>IF(AND(OR('Data entry screen'!B36="High crop, standard",'Data entry screen'!B36="High crop, intensive contact with treated crop",'Data entry screen'!B36="Low crop, intensive contact with treated crop"),'Data entry screen'!D45="Impervious clothing"),Calculations!C72,"")</f>
      </c>
      <c r="D21" s="198">
        <f t="shared" si="0"/>
        <v>0</v>
      </c>
      <c r="E21" s="186">
        <f>IF('Data entry screen'!$B$36="High crop, intensive contact with treated crop","",B21*$D21/$B$7)</f>
        <v>0</v>
      </c>
      <c r="F21" s="73">
        <f>IF(F9="T-shirt + shorts","",IF(AND('Data entry screen'!D45="Impervious clothing",OR('Data entry screen'!B36="Low crop, intensive contact with treated crop",'Data entry screen'!B36="High crop, intensive contact with treated crop")),"",IF(OR(AND('Data entry screen'!B36="High crop, standard",'Data entry screen'!D45="Coverall"),'Data entry screen'!B36="Low crop, standard",'Data entry screen'!B36="Low crop, intensive contact with treated crop",'Data entry screen'!B36="High crop, intensive contact with treated crop"),"",Calculations!D72)))</f>
      </c>
      <c r="G21" s="201">
        <f>IF(F9="T-shirt + shorts","",IF(F9="Coverall","",IF(AND(OR('Data entry screen'!B36="Low crop, intensive contact with treated crop",'Data entry screen'!B36="High crop, intensive contact with treated crop"),F9="Impervious clothing"),C21*D21/$B$7,IF('Data entry screen'!B36="Low crop, standard","",C21*$F21*$D21/$B$7))))</f>
      </c>
      <c r="H21" s="31" t="s">
        <v>35</v>
      </c>
      <c r="I21" s="174"/>
      <c r="J21" s="277">
        <f>IF(ISNUMBER(G21),G21,IF(G21="",E21,""))</f>
        <v>0</v>
      </c>
      <c r="K21" s="171"/>
    </row>
    <row r="22" spans="1:11" ht="14.25" customHeight="1">
      <c r="A22" s="32"/>
      <c r="C22" s="189" t="s">
        <v>379</v>
      </c>
      <c r="I22" s="171"/>
      <c r="J22" s="171"/>
      <c r="K22" s="171"/>
    </row>
    <row r="23" spans="1:11" ht="15.75">
      <c r="A23" s="275"/>
      <c r="B23" s="168"/>
      <c r="C23" s="168"/>
      <c r="D23" s="168"/>
      <c r="E23" s="168"/>
      <c r="F23" s="168"/>
      <c r="I23" s="171"/>
      <c r="J23" s="171"/>
      <c r="K23" s="171"/>
    </row>
    <row r="24" spans="1:11" ht="15.75">
      <c r="A24" s="1" t="s">
        <v>37</v>
      </c>
      <c r="B24" s="33"/>
      <c r="C24" s="33"/>
      <c r="D24" s="676" t="s">
        <v>305</v>
      </c>
      <c r="E24" s="676"/>
      <c r="F24" s="676" t="s">
        <v>314</v>
      </c>
      <c r="G24" s="676"/>
      <c r="I24" s="175"/>
      <c r="J24" s="171"/>
      <c r="K24" s="171"/>
    </row>
    <row r="25" spans="1:11" ht="46.5">
      <c r="A25" s="34" t="s">
        <v>29</v>
      </c>
      <c r="B25" s="35"/>
      <c r="C25" s="264" t="s">
        <v>82</v>
      </c>
      <c r="D25" s="34" t="s">
        <v>376</v>
      </c>
      <c r="E25" s="36" t="s">
        <v>58</v>
      </c>
      <c r="F25" s="34" t="s">
        <v>376</v>
      </c>
      <c r="G25" s="37" t="s">
        <v>58</v>
      </c>
      <c r="I25" s="169"/>
      <c r="J25" s="169"/>
      <c r="K25" s="171"/>
    </row>
    <row r="26" spans="1:11" ht="15.75">
      <c r="A26" s="22"/>
      <c r="B26" s="6"/>
      <c r="C26" s="265"/>
      <c r="D26" s="22"/>
      <c r="E26" s="23"/>
      <c r="F26" s="22"/>
      <c r="G26" s="24"/>
      <c r="I26" s="176"/>
      <c r="J26" s="176"/>
      <c r="K26" s="171"/>
    </row>
    <row r="27" spans="1:11" ht="15.75">
      <c r="A27" s="67" t="s">
        <v>83</v>
      </c>
      <c r="B27" s="10" t="s">
        <v>38</v>
      </c>
      <c r="C27" s="270">
        <f>B9</f>
        <v>0</v>
      </c>
      <c r="D27" s="101">
        <f>E17</f>
        <v>0</v>
      </c>
      <c r="E27" s="464">
        <f>IF(D27="","",IF(C27=0,"",D27*C27/100))</f>
      </c>
      <c r="F27" s="101">
        <f>IF(ISNUMBER(G17),G17,IF(AND(ISNUMBER(E17),OR(ISNUMBER(G16),ISNUMBER(G18),ISNUMBER(G19),ISNUMBER(G20),ISNUMBER(G21))),E17,""))</f>
      </c>
      <c r="G27" s="103">
        <f>IF(C27=0,"",IF(ISNUMBER(F27),F27*C27/100,""))</f>
      </c>
      <c r="I27" s="177"/>
      <c r="J27" s="177"/>
      <c r="K27" s="171"/>
    </row>
    <row r="28" spans="1:11" ht="15.75" customHeight="1">
      <c r="A28" s="68"/>
      <c r="B28" s="114" t="s">
        <v>4</v>
      </c>
      <c r="C28" s="271">
        <f>B10</f>
        <v>0</v>
      </c>
      <c r="D28" s="101">
        <f>IF(F9="T-shirt + shorts","",IF('Data entry screen'!$B$36="High crop, intensive contact with treated crop","",SUM(E19:E21)))</f>
        <v>0</v>
      </c>
      <c r="E28" s="103">
        <f>IF(D28="","",IF('Data entry screen'!B36="High crop, intensive contact with treated crop","",IF(C28=0,"",D28*C28/100)))</f>
      </c>
      <c r="F28" s="101">
        <f>IF(AND(ISNUMBER(G19),ISNUMBER(G20),ISNUMBER(G21)),SUM(G19:G21),IF(SUM(G16:G21)=0,"",IF(AND(ISNUMBER(J19),ISNUMBER(J20),ISNUMBER(J21)),SUM(J19:J21),"")))</f>
      </c>
      <c r="G28" s="278">
        <f>IF(C28=0,"",IF(ISNUMBER(F28),F28*C28/100,""))</f>
      </c>
      <c r="I28" s="177"/>
      <c r="J28" s="177"/>
      <c r="K28" s="171"/>
    </row>
    <row r="29" spans="1:11" ht="15.75">
      <c r="A29" s="67" t="s">
        <v>84</v>
      </c>
      <c r="B29" s="10" t="s">
        <v>38</v>
      </c>
      <c r="C29" s="272">
        <f>B8</f>
        <v>0</v>
      </c>
      <c r="D29" s="188">
        <f>E16</f>
        <v>0</v>
      </c>
      <c r="E29" s="192">
        <f>IF(D29="","",D29*C29/100)</f>
        <v>0</v>
      </c>
      <c r="F29" s="188">
        <f>IF(ISNUMBER(G16),G16,IF(AND(ISNUMBER(E16),OR(ISNUMBER(G17),ISNUMBER(G18),ISNUMBER(G19),ISNUMBER(G20),ISNUMBER(G21))),E16,""))</f>
      </c>
      <c r="G29" s="192">
        <f>IF(ISNUMBER(F29),F29*C29/100,"")</f>
      </c>
      <c r="I29" s="177"/>
      <c r="J29" s="177"/>
      <c r="K29" s="171"/>
    </row>
    <row r="30" spans="1:11" ht="15.75">
      <c r="A30" s="38"/>
      <c r="B30" s="19" t="s">
        <v>4</v>
      </c>
      <c r="C30" s="273">
        <f>B8</f>
        <v>0</v>
      </c>
      <c r="D30" s="104">
        <f>E18</f>
        <v>0</v>
      </c>
      <c r="E30" s="103">
        <f>IF(D30="","",D30*C30/100)</f>
        <v>0</v>
      </c>
      <c r="F30" s="104">
        <f>IF(ISNUMBER(G18),G18,IF(AND(ISNUMBER(E18),OR(ISNUMBER(G16),ISNUMBER(G17),ISNUMBER(G19),ISNUMBER(G20),ISNUMBER(G21))),E18,""))</f>
      </c>
      <c r="G30" s="115">
        <f>IF(ISNUMBER(F30),F30*C30/100,"")</f>
      </c>
      <c r="I30" s="177"/>
      <c r="J30" s="177"/>
      <c r="K30" s="171"/>
    </row>
    <row r="31" spans="1:11" ht="15.75">
      <c r="A31" s="69"/>
      <c r="B31" s="35"/>
      <c r="C31" s="274" t="s">
        <v>39</v>
      </c>
      <c r="D31" s="100"/>
      <c r="E31" s="77">
        <f>IF(AND(ISNUMBER(E27),ISNUMBER(E28),ISNUMBER(E29),ISNUMBER(E30)),SUM(E27:E30),"")</f>
      </c>
      <c r="F31" s="100"/>
      <c r="G31" s="77">
        <f>IF(AND(ISNUMBER(G27),ISNUMBER(G28),ISNUMBER(G29),ISNUMBER(G30)),SUM(G27:G30),"")</f>
      </c>
      <c r="I31" s="180"/>
      <c r="J31" s="179"/>
      <c r="K31" s="171"/>
    </row>
    <row r="32" spans="1:7" ht="15.75">
      <c r="A32" s="10" t="s">
        <v>378</v>
      </c>
      <c r="B32" s="10"/>
      <c r="C32" s="28"/>
      <c r="D32" s="102" t="s">
        <v>334</v>
      </c>
      <c r="E32" s="102"/>
      <c r="F32" s="102"/>
      <c r="G32" s="102"/>
    </row>
    <row r="33" spans="1:8" ht="96.75" customHeight="1">
      <c r="A33" s="668" t="s">
        <v>606</v>
      </c>
      <c r="B33" s="668"/>
      <c r="C33" s="668"/>
      <c r="D33" s="668"/>
      <c r="E33" s="668"/>
      <c r="F33" s="668"/>
      <c r="G33" s="668"/>
      <c r="H33" s="668"/>
    </row>
    <row r="34" spans="4:7" ht="15.75">
      <c r="D34" s="167"/>
      <c r="E34" s="167"/>
      <c r="F34" s="167"/>
      <c r="G34" s="167"/>
    </row>
    <row r="35" spans="4:7" ht="15.75">
      <c r="D35" s="162"/>
      <c r="E35" s="162"/>
      <c r="F35" s="162"/>
      <c r="G35" s="167"/>
    </row>
    <row r="36" spans="4:7" ht="15.75">
      <c r="D36" s="162"/>
      <c r="E36" s="162"/>
      <c r="F36" s="162"/>
      <c r="G36" s="167"/>
    </row>
    <row r="37" spans="4:7" ht="15.75">
      <c r="D37" s="162"/>
      <c r="E37" s="162"/>
      <c r="F37" s="162"/>
      <c r="G37" s="162"/>
    </row>
    <row r="38" spans="4:7" ht="15.75">
      <c r="D38" s="162"/>
      <c r="E38" s="162"/>
      <c r="F38" s="162"/>
      <c r="G38" s="167"/>
    </row>
    <row r="39" spans="4:7" ht="15.75">
      <c r="D39" s="167"/>
      <c r="E39" s="167"/>
      <c r="F39" s="167"/>
      <c r="G39" s="167"/>
    </row>
    <row r="40" spans="4:7" ht="15.75">
      <c r="D40" s="162"/>
      <c r="E40" s="162"/>
      <c r="F40" s="162"/>
      <c r="G40" s="167"/>
    </row>
    <row r="41" spans="4:7" ht="15.75">
      <c r="D41" s="162"/>
      <c r="E41" s="162"/>
      <c r="F41" s="162"/>
      <c r="G41" s="167"/>
    </row>
  </sheetData>
  <sheetProtection sheet="1" objects="1" scenarios="1" formatCells="0" formatColumns="0" formatRows="0"/>
  <mergeCells count="8">
    <mergeCell ref="A33:H33"/>
    <mergeCell ref="I13:K13"/>
    <mergeCell ref="A13:A14"/>
    <mergeCell ref="F24:G24"/>
    <mergeCell ref="D24:E24"/>
    <mergeCell ref="B13:C13"/>
    <mergeCell ref="D13:D14"/>
    <mergeCell ref="E13:G13"/>
  </mergeCells>
  <conditionalFormatting sqref="C22">
    <cfRule type="expression" priority="1" dxfId="1" stopIfTrue="1">
      <formula>$A$1&lt;&gt;"Operator exposure estimate: Greenhouse model. High crop, standard"</formula>
    </cfRule>
    <cfRule type="expression" priority="2" dxfId="4" stopIfTrue="1">
      <formula>$A$1="Operator exposure estimate: Greenhouse model, High crop, standard"</formula>
    </cfRule>
  </conditionalFormatting>
  <conditionalFormatting sqref="A33:H33">
    <cfRule type="expression" priority="3" dxfId="1" stopIfTrue="1">
      <formula>I1&lt;&gt;"High crop, standard"</formula>
    </cfRule>
    <cfRule type="expression" priority="4" dxfId="0" stopIfTrue="1">
      <formula>I1="High crop, standard"</formula>
    </cfRule>
  </conditionalFormatting>
  <conditionalFormatting sqref="A32">
    <cfRule type="expression" priority="5" dxfId="1" stopIfTrue="1">
      <formula>I1&lt;&gt;"High crop, standard"</formula>
    </cfRule>
    <cfRule type="expression" priority="6" dxfId="0" stopIfTrue="1">
      <formula>I1="High crop, standard"</formula>
    </cfRule>
  </conditionalFormatting>
  <printOptions horizontalCentered="1" verticalCentered="1"/>
  <pageMargins left="0.6299212598425197" right="0.4330708661417323" top="0.7874015748031497" bottom="0.3937007874015748" header="0.7086614173228347" footer="0.5118110236220472"/>
  <pageSetup fitToHeight="1" fitToWidth="1" horizontalDpi="1200" verticalDpi="1200" orientation="landscape" paperSize="9" scale="78" r:id="rId2"/>
  <ignoredErrors>
    <ignoredError sqref="G17" formula="1"/>
    <ignoredError sqref="E3" unlocked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CEHTRA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model v_2.1</dc:title>
  <dc:subject/>
  <dc:creator>Isabelle Thouvenin - CEHTRA</dc:creator>
  <cp:keywords/>
  <dc:description/>
  <cp:lastModifiedBy>Stéphanie Nadzialek</cp:lastModifiedBy>
  <cp:lastPrinted>2010-12-10T08:42:24Z</cp:lastPrinted>
  <dcterms:created xsi:type="dcterms:W3CDTF">2004-06-21T13:30:28Z</dcterms:created>
  <dcterms:modified xsi:type="dcterms:W3CDTF">2019-06-20T12:32:11Z</dcterms:modified>
  <cp:category/>
  <cp:version/>
  <cp:contentType/>
  <cp:contentStatus/>
</cp:coreProperties>
</file>