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queryTables/queryTable1.xml" ContentType="application/vnd.openxmlformats-officedocument.spreadsheetml.queryTable+xml"/>
  <Override PartName="/xl/tables/table2.xml" ContentType="application/vnd.openxmlformats-officedocument.spreadsheetml.table+xml"/>
  <Override PartName="/xl/queryTables/queryTable2.xml" ContentType="application/vnd.openxmlformats-officedocument.spreadsheetml.queryTable+xml"/>
  <Override PartName="/xl/tables/table3.xml" ContentType="application/vnd.openxmlformats-officedocument.spreadsheetml.table+xml"/>
  <Override PartName="/xl/queryTables/queryTable3.xml" ContentType="application/vnd.openxmlformats-officedocument.spreadsheetml.queryTable+xml"/>
  <Override PartName="/xl/tables/table4.xml" ContentType="application/vnd.openxmlformats-officedocument.spreadsheetml.table+xml"/>
  <Override PartName="/xl/queryTables/queryTable4.xml" ContentType="application/vnd.openxmlformats-officedocument.spreadsheetml.queryTable+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3.xml" ContentType="application/vnd.openxmlformats-officedocument.drawing+xml"/>
  <Override PartName="/xl/ctrlProps/ctrlProp3.xml" ContentType="application/vnd.ms-excel.controlproperties+xml"/>
  <Override PartName="/xl/ctrlProps/ctrlProp4.xml" ContentType="application/vnd.ms-excel.controlproperties+xml"/>
  <Override PartName="/xl/comments1.xml" ContentType="application/vnd.openxmlformats-officedocument.spreadsheetml.comments+xml"/>
  <Override PartName="/xl/drawings/drawing4.xml" ContentType="application/vnd.openxmlformats-officedocument.drawing+xml"/>
  <Override PartName="/xl/ctrlProps/ctrlProp5.xml" ContentType="application/vnd.ms-excel.controlproperties+xml"/>
  <Override PartName="/xl/tables/table5.xml" ContentType="application/vnd.openxmlformats-officedocument.spreadsheetml.table+xml"/>
  <Override PartName="/xl/comments2.xml" ContentType="application/vnd.openxmlformats-officedocument.spreadsheetml.comments+xml"/>
  <Override PartName="/xl/drawings/drawing5.xml" ContentType="application/vnd.openxmlformats-officedocument.drawing+xml"/>
  <Override PartName="/xl/ctrlProps/ctrlProp6.xml" ContentType="application/vnd.ms-excel.controlproperties+xml"/>
  <Override PartName="/xl/ctrlProps/ctrlProp7.xml" ContentType="application/vnd.ms-excel.controlproperties+xml"/>
  <Override PartName="/xl/tables/table6.xml" ContentType="application/vnd.openxmlformats-officedocument.spreadsheetml.table+xml"/>
  <Override PartName="/xl/comments3.xml" ContentType="application/vnd.openxmlformats-officedocument.spreadsheetml.comments+xml"/>
  <Override PartName="/xl/threadedComments/threadedComment1.xml" ContentType="application/vnd.ms-excel.threadedcomments+xml"/>
  <Override PartName="/xl/tables/table7.xml" ContentType="application/vnd.openxmlformats-officedocument.spreadsheetml.table+xml"/>
  <Override PartName="/xl/comments4.xml" ContentType="application/vnd.openxmlformats-officedocument.spreadsheetml.comments+xml"/>
  <Override PartName="/xl/comments5.xml" ContentType="application/vnd.openxmlformats-officedocument.spreadsheetml.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619" codeName="{00000000-0000-0000-0000-000000000000}"/>
  <workbookPr codeName="DieseArbeitsmappe1" defaultThemeVersion="166925"/>
  <mc:AlternateContent xmlns:mc="http://schemas.openxmlformats.org/markup-compatibility/2006">
    <mc:Choice Requires="x15">
      <x15ac:absPath xmlns:x15ac="http://schemas.microsoft.com/office/spreadsheetml/2010/11/ac" url="https://exteravm-my.sharepoint.com/personal/vmostert_extera-vm_com/Documents/extera/CropLife Europe/AOEM/"/>
    </mc:Choice>
  </mc:AlternateContent>
  <xr:revisionPtr revIDLastSave="0" documentId="8_{51178DE5-71CB-403D-A540-ACA19EDB7E0D}" xr6:coauthVersionLast="47" xr6:coauthVersionMax="47" xr10:uidLastSave="{00000000-0000-0000-0000-000000000000}"/>
  <workbookProtection workbookAlgorithmName="SHA-512" workbookHashValue="dLpj5dJw7vRACzs4kDHb6Pa3YH4pk/ztFfjY4KTNOADJrhm8X/K6ptzz5/OX35zBgTKbFeGjd0PiVFmrn41xzw==" workbookSaltValue="0+qeQgnRoyAVwPpHBYuyuQ==" workbookSpinCount="100000" lockStructure="1"/>
  <bookViews>
    <workbookView xWindow="-120" yWindow="-120" windowWidth="29040" windowHeight="15720" tabRatio="607" firstSheet="6" activeTab="6" xr2:uid="{7C9A74F8-A804-43A7-8D3A-49C306497697}"/>
  </bookViews>
  <sheets>
    <sheet name="Disclaimer" sheetId="92" r:id="rId1"/>
    <sheet name="Instructions" sheetId="1" r:id="rId2"/>
    <sheet name="opex_indoor75_hm" sheetId="40" state="hidden" r:id="rId3"/>
    <sheet name="opex_AOEM95_hm" sheetId="28" state="hidden" r:id="rId4"/>
    <sheet name="opex_indoor95_hm" sheetId="42" state="hidden" r:id="rId5"/>
    <sheet name="opex_AOEM75_hm" sheetId="46" state="hidden" r:id="rId6"/>
    <sheet name="Data entry" sheetId="2" r:id="rId7"/>
    <sheet name="Summary" sheetId="3" r:id="rId8"/>
    <sheet name="Trolley" sheetId="81" state="hidden" r:id="rId9"/>
    <sheet name="MHH" sheetId="80" state="hidden" r:id="rId10"/>
    <sheet name="Operator Spray" sheetId="90" r:id="rId11"/>
    <sheet name="Operator Granules" sheetId="61" r:id="rId12"/>
    <sheet name="Operator_exposure_values_AOEM" sheetId="91" state="hidden" r:id="rId13"/>
    <sheet name="Worker" sheetId="64" r:id="rId14"/>
    <sheet name="Look up" sheetId="74" state="hidden" r:id="rId15"/>
    <sheet name="cropsWorker" sheetId="71" state="hidden" r:id="rId16"/>
    <sheet name="Small Tables" sheetId="56" state="hidden" r:id="rId17"/>
    <sheet name="Operator_exposure_values_PHED" sheetId="16" state="hidden" r:id="rId18"/>
    <sheet name="Resident" sheetId="89" r:id="rId19"/>
    <sheet name="Bystander" sheetId="88" r:id="rId20"/>
    <sheet name="Recreational Exposure" sheetId="72" r:id="rId21"/>
    <sheet name="Default values" sheetId="60" r:id="rId22"/>
  </sheets>
  <definedNames>
    <definedName name="_xlnm._FilterDatabase" localSheetId="21">'Default values'!$A$1:$F$51</definedName>
    <definedName name="_xlnm._FilterDatabase" localSheetId="12" hidden="1">Operator_exposure_values_AOEM!$A$2:$V$141</definedName>
    <definedName name="_xlnm._FilterDatabase" localSheetId="17" hidden="1">Operator_exposure_values_PHED!$A$2:$N$14</definedName>
    <definedName name="_xlnm._FilterDatabase" localSheetId="16" hidden="1">'Small Tables'!$B$25:$L$45</definedName>
    <definedName name="_xleta.LEFT" hidden="1" xlm="1">#NAME?</definedName>
    <definedName name="_xleta.N" hidden="1" xlm="1">#NAME?</definedName>
    <definedName name="_xleta.SINGLE" hidden="1" xlm="1">#NAME?</definedName>
    <definedName name="_xleta.T" hidden="1" xlm="1">#NAME?</definedName>
    <definedName name="Agriculturalgrassland">'Look up'!$F$56</definedName>
    <definedName name="Agriculturalgrasslandinout">'Look up'!$F$88</definedName>
    <definedName name="AgriculturalgrasslandTSF">'Look up'!$F$70</definedName>
    <definedName name="Agriculturalgrasslandupdown">'Look up'!$F$87</definedName>
    <definedName name="Amenitygrassland">'Look up'!$E$56:$E$57</definedName>
    <definedName name="Amenitygrasslandinout">'Look up'!$E$88</definedName>
    <definedName name="AmenitygrasslandTSF">'Look up'!$E$70</definedName>
    <definedName name="Amenitygrasslandupdown">'Look up'!$E$87</definedName>
    <definedName name="App_Down">'Small Tables'!$F$18:$F$19</definedName>
    <definedName name="APP_Gloves" localSheetId="10">'Operator Spray'!$D$39</definedName>
    <definedName name="APP_Gloves">'Operator Spray'!$D$39</definedName>
    <definedName name="APP_Up">'Small Tables'!$E$18:$E$20</definedName>
    <definedName name="AppBodyPotSpec" localSheetId="9">MHH!$D$33</definedName>
    <definedName name="AppBodyPotSpec" localSheetId="10">'Operator Spray'!$D$33</definedName>
    <definedName name="AppBodyPotSpec" localSheetId="8">Trolley!$D$33</definedName>
    <definedName name="AppBodyPotSpecPHED" localSheetId="11">'Operator Granules'!$C$24</definedName>
    <definedName name="AppBodyPotSys" localSheetId="9">MHH!$E$76</definedName>
    <definedName name="AppBodyPotSys" localSheetId="10">'Operator Spray'!$E$76</definedName>
    <definedName name="AppBodyPotSys" localSheetId="8">Trolley!$E$76</definedName>
    <definedName name="AppBodyPotSysPHED" localSheetId="11">'Operator Granules'!$D$63</definedName>
    <definedName name="AppBodyWwSpec" localSheetId="9">MHH!$D$36</definedName>
    <definedName name="AppBodyWwSpec" localSheetId="10">'Operator Spray'!$D$36</definedName>
    <definedName name="AppBodyWwSpec" localSheetId="8">Trolley!$D$36</definedName>
    <definedName name="AppBodyWwSpecPHED" localSheetId="11">'Operator Granules'!$C$24</definedName>
    <definedName name="AppBodyWwSys" localSheetId="9">MHH!$E$82</definedName>
    <definedName name="AppBodyWwSys" localSheetId="10">'Operator Spray'!$E$82</definedName>
    <definedName name="AppBodyWwSys" localSheetId="8">Trolley!$E$82</definedName>
    <definedName name="AppBodyWwSysPHED" localSheetId="11">'Operator Granules'!$D$68</definedName>
    <definedName name="AppHandsGlovesSpec" localSheetId="9">MHH!$D$35</definedName>
    <definedName name="AppHandsGlovesSpec" localSheetId="10">'Operator Spray'!$D$35</definedName>
    <definedName name="AppHandsGlovesSpec" localSheetId="8">Trolley!$D$35</definedName>
    <definedName name="AppHandsGlovesSys" localSheetId="9">MHH!$E$81</definedName>
    <definedName name="AppHandsGlovesSys" localSheetId="10">'Operator Spray'!$E$81</definedName>
    <definedName name="AppHandsGlovesSys" localSheetId="8">Trolley!$E$81</definedName>
    <definedName name="AppHandsGloveSysPHED" localSheetId="11">'Operator Granules'!$D$67</definedName>
    <definedName name="AppHandsPotSpec" localSheetId="9">MHH!$D$32</definedName>
    <definedName name="AppHandsPotSpec" localSheetId="10">'Operator Spray'!$D$32</definedName>
    <definedName name="AppHandsPotSpec" localSheetId="8">Trolley!$D$32</definedName>
    <definedName name="AppHandsPotSpecPHED" localSheetId="11">'Operator Granules'!$C$23</definedName>
    <definedName name="AppHandsPotSys" localSheetId="9">MHH!$E$75</definedName>
    <definedName name="AppHandsPotSys" localSheetId="10">'Operator Spray'!$E$75</definedName>
    <definedName name="AppHandsPotSys" localSheetId="8">Trolley!$E$75</definedName>
    <definedName name="AppHandsPotSysPHED" localSheetId="11">'Operator Granules'!$D$62</definedName>
    <definedName name="AppHeadPotSpec" localSheetId="9">MHH!$D$34</definedName>
    <definedName name="AppHeadPotSpec" localSheetId="10">'Operator Spray'!$D$34</definedName>
    <definedName name="AppHeadPotSpec" localSheetId="8">Trolley!$D$34</definedName>
    <definedName name="AppHeadPotSys" localSheetId="9">MHH!$E$77</definedName>
    <definedName name="AppHeadPotSys" localSheetId="10">'Operator Spray'!$E$77</definedName>
    <definedName name="AppHeadPotSys" localSheetId="8">Trolley!$E$77</definedName>
    <definedName name="AppHeadPPESpec" localSheetId="9">MHH!$D$34</definedName>
    <definedName name="AppHeadPPESpec" localSheetId="10">'Operator Spray'!$D$34</definedName>
    <definedName name="AppHeadPPESpec" localSheetId="8">Trolley!$D$34</definedName>
    <definedName name="AppHeadPPESys" localSheetId="9">MHH!$E$83</definedName>
    <definedName name="AppHeadPPESys" localSheetId="10">'Operator Spray'!$E$83</definedName>
    <definedName name="AppHeadPPESys" localSheetId="8">Trolley!$E$83</definedName>
    <definedName name="AppHeadResPPE" localSheetId="9">MHH!$D$41</definedName>
    <definedName name="AppHeadResPPE" localSheetId="10">'Operator Spray'!$D$41</definedName>
    <definedName name="AppHeadResPPE" localSheetId="8">Trolley!$D$41</definedName>
    <definedName name="AppInhalPotSpec" localSheetId="9">MHH!$D$37</definedName>
    <definedName name="AppInhalPotSpec" localSheetId="10">'Operator Spray'!$D$37</definedName>
    <definedName name="AppInhalPotSpec" localSheetId="8">Trolley!$D$37</definedName>
    <definedName name="AppInhalPotSpecPHED" localSheetId="11">'Operator Granules'!$C$25</definedName>
    <definedName name="AppInhalPotSys" localSheetId="9">MHH!$E$78</definedName>
    <definedName name="AppInhalPotSys" localSheetId="10">'Operator Spray'!$E$78</definedName>
    <definedName name="AppInhalPotSys" localSheetId="8">Trolley!$E$78</definedName>
    <definedName name="AppInhalPotSysPHED" localSheetId="11">'Operator Granules'!$D$64</definedName>
    <definedName name="AppInhalPPESpec" localSheetId="9">MHH!$D$41</definedName>
    <definedName name="AppInhalPPESpec" localSheetId="10">'Operator Spray'!$D$41</definedName>
    <definedName name="AppInhalPPESpec" localSheetId="8">Trolley!$D$41</definedName>
    <definedName name="AppInhalPPESys" localSheetId="9">MHH!$E$84</definedName>
    <definedName name="AppInhalPPESys" localSheetId="10">'Operator Spray'!$E$84</definedName>
    <definedName name="AppInhalPPESys" localSheetId="8">Trolley!$E$84</definedName>
    <definedName name="AppInhalPPESysPHED" localSheetId="11">'Operator Granules'!$D$69</definedName>
    <definedName name="AppInhPenFactorAOEM" localSheetId="9">MHH!$M$41</definedName>
    <definedName name="AppInhPenFactorAOEM" localSheetId="10">'Operator Spray'!$M$41</definedName>
    <definedName name="AppInhPenFactorAOEM" localSheetId="8">Trolley!$M$41</definedName>
    <definedName name="AppPenFactorAOEM" localSheetId="9">MHH!$L$41</definedName>
    <definedName name="AppPenFactorAOEM" localSheetId="10">'Operator Spray'!$L$41</definedName>
    <definedName name="AppPenFactorAOEM" localSheetId="8">Trolley!$L$41</definedName>
    <definedName name="AppPenFactorPHED" localSheetId="11">'Operator Granules'!$K$29</definedName>
    <definedName name="ay_AppPPEHands">'Small Tables'!$D$4:$E$11</definedName>
    <definedName name="ay_AvgSpray">'Small Tables'!$A$70:$E$75</definedName>
    <definedName name="ay_ByCropType">'Small Tables'!$A$82:$D$99</definedName>
    <definedName name="ay_BySpray">'Small Tables'!$A$60:$E$65</definedName>
    <definedName name="ay_CropType">'Small Tables'!$A$26:$J$45</definedName>
    <definedName name="ay_MixPPEBody">'Small Tables'!$A$10:$B$12</definedName>
    <definedName name="ay_MixPPEHead">'Small Tables'!$A$16:$B$20</definedName>
    <definedName name="ay_MixRPE">'Small Tables'!$A$4:$B$20</definedName>
    <definedName name="ay_OpExAOEM">Operator_exposure_values_AOEM!$A$3:$V$326</definedName>
    <definedName name="ay_OpExpVal">Operator_exposure_values_PHED!$A$3:$N$14</definedName>
    <definedName name="ay_ResidSpray">'Small Tables'!$A$50:$E$55</definedName>
    <definedName name="ay_Worker_activity">cropsWorker!$A$3:$N$134</definedName>
    <definedName name="Barearableland">'Look up'!$H$50:$H$51</definedName>
    <definedName name="Barearablelandinout">'Look up'!$H$80:$H$81</definedName>
    <definedName name="BarearablelandTSF">'Look up'!$H$64</definedName>
    <definedName name="Barearablelandupdown">'Look up'!$H$79</definedName>
    <definedName name="Barenonarableland">'Look up'!$I$50</definedName>
    <definedName name="Barenonarablelandinout">'Look up'!$I$79</definedName>
    <definedName name="Barenonarablelandrailwaytrack">'Look up'!$I$56</definedName>
    <definedName name="Barenonarablelandrailwaytrackinout">'Look up'!$I$88</definedName>
    <definedName name="BarenonarablelandrailwaytrackTSF">'Look up'!$I$70</definedName>
    <definedName name="Barenonarablelandrailwaytrackupdown">'Look up'!$I$87</definedName>
    <definedName name="BarenonarablelandTSF">'Look up'!$I$64</definedName>
    <definedName name="Barenonarablelandupdown">'Look up'!$I$78</definedName>
    <definedName name="Baresoil">'Look up'!#REF!</definedName>
    <definedName name="Boolean">'Look up'!$F$2:$F$3</definedName>
    <definedName name="Brassicavegetables">'Look up'!#REF!</definedName>
    <definedName name="Bulbvegetables">'Look up'!#REF!</definedName>
    <definedName name="c_AppRate">'Default values'!#REF!</definedName>
    <definedName name="Cabin">'Look up'!$B$9</definedName>
    <definedName name="CanefruitHighberries">'Look up'!$G$50:$G$52</definedName>
    <definedName name="CanefruitHighberriesinout">'Look up'!$G$80:$G$82</definedName>
    <definedName name="CanefruitHighberriesTSF">'Look up'!$G$64:$G$66</definedName>
    <definedName name="CanefruitHighberriesupdown">'Look up'!$G$78:$G$79</definedName>
    <definedName name="Citrus">'Look up'!$E$50:$E$52</definedName>
    <definedName name="Citrusinout">'Look up'!$E$80:$E$80</definedName>
    <definedName name="CitrusTSF">'Look up'!$E$64</definedName>
    <definedName name="Citrusupdown">'Look up'!$E$78:$E$79</definedName>
    <definedName name="ClosedCabY_N" localSheetId="9">MHH!$D$42</definedName>
    <definedName name="ClosedCabY_N" localSheetId="10">'Operator Spray'!$D$42</definedName>
    <definedName name="ClosedCabY_N" localSheetId="8">Trolley!$D$42</definedName>
    <definedName name="conc_dust1">'Default values'!$C$22</definedName>
    <definedName name="conc_dust2">'Default values'!$D$22</definedName>
    <definedName name="conc_dust3">'Default values'!$E$22</definedName>
    <definedName name="conc_dust4">'Default values'!$F$22</definedName>
    <definedName name="ConcSoil1">'Default values'!$C$21</definedName>
    <definedName name="ConcSoil2">'Default values'!$D$21</definedName>
    <definedName name="ConcSoil3">'Default values'!$E$21</definedName>
    <definedName name="ConcSoil4">'Default values'!$F$21</definedName>
    <definedName name="d_AirCon">Resident!$C$17</definedName>
    <definedName name="d_AirCon1">Resident!$C$17</definedName>
    <definedName name="d_AirCon2">Resident!$G$17</definedName>
    <definedName name="d_AirCon3">Resident!$L$17</definedName>
    <definedName name="d_AirCon4">Resident!$Q$17</definedName>
    <definedName name="d_AirConNonVol">'Default values'!$C$2</definedName>
    <definedName name="d_AirConVol">'Default values'!$C$1</definedName>
    <definedName name="d_AppPfCaBfR" localSheetId="9">MHH!$D$42</definedName>
    <definedName name="d_AppPfCaBfR" localSheetId="8">Trolley!$D$42</definedName>
    <definedName name="d_AppPfCaBfR">'Operator Spray'!$D$42</definedName>
    <definedName name="d_AreaHM">'Default values'!$C$3</definedName>
    <definedName name="d_AreaTreated">'Default values'!$C$4</definedName>
    <definedName name="d_BreathRAd">'Default values'!$C$5</definedName>
    <definedName name="d_BreathRCh">'Default values'!$C$6</definedName>
    <definedName name="d_BreathWorker">'Default values'!$C$7</definedName>
    <definedName name="d_BwAdult">'Default values'!$C$8</definedName>
    <definedName name="d_BwChild">'Default values'!$C$9</definedName>
    <definedName name="d_ByBreathRAd">'Default values'!$C$10</definedName>
    <definedName name="d_ByBreathRCh">'Default values'!$C$11</definedName>
    <definedName name="d_ByExpDur">'Default values'!$C$12</definedName>
    <definedName name="d_ByFreqHM">'Default values'!$C$13</definedName>
    <definedName name="d_ByTCAd">'Default values'!$C$14</definedName>
    <definedName name="d_ByTCCh">'Default values'!$C$15</definedName>
    <definedName name="d_ClothAF">'Default values'!$C$16</definedName>
    <definedName name="d_ConcAs1">'Default values'!$C$18</definedName>
    <definedName name="d_ConcAs2">'Default values'!$D$18</definedName>
    <definedName name="d_ConcAs3">'Default values'!$E$18</definedName>
    <definedName name="d_ConcAs4">'Default values'!$F$18</definedName>
    <definedName name="d_DermTcCV1">Worker!$B$24</definedName>
    <definedName name="d_DermTcCV2">Worker!$B$25</definedName>
    <definedName name="d_DermTcCV3">Worker!$B$26</definedName>
    <definedName name="d_DermTcUCV">Worker!$B$23</definedName>
    <definedName name="d_DFR1">'Default values'!$C$19</definedName>
    <definedName name="d_DFR2">'Default values'!$D$19</definedName>
    <definedName name="d_DFR3">'Default values'!$E$19</definedName>
    <definedName name="d_DFR4">'Default values'!$F$19</definedName>
    <definedName name="d_DRP">'Default values'!$C$27</definedName>
    <definedName name="d_DT50air1">Worker!$B$13</definedName>
    <definedName name="d_DT50air2">Worker!$F$13</definedName>
    <definedName name="d_DT50air3">Worker!$J$13</definedName>
    <definedName name="d_DT50air4">Worker!$N$13</definedName>
    <definedName name="d_DT50soil1">Worker!$B$14</definedName>
    <definedName name="d_DT50soil2">Worker!$F$14</definedName>
    <definedName name="d_DT50soil3">Worker!$J$14</definedName>
    <definedName name="d_DT50soil4">Worker!$N$14</definedName>
    <definedName name="d_ExpDurTreatCrop">'Default values'!$C$31</definedName>
    <definedName name="d_HalflifeAS1">'Default values'!$C$24</definedName>
    <definedName name="d_HalflifeAS2">'Default values'!$D$24</definedName>
    <definedName name="d_HalflifeAS3">'Default values'!$E$24</definedName>
    <definedName name="d_HalflifeAS4">'Default values'!$F$24</definedName>
    <definedName name="d_handSoilLoading">'Default values'!$C$37</definedName>
    <definedName name="d_HandSurface">'Default values'!$C$36</definedName>
    <definedName name="d_head75ProtectionFactor">'Default values'!$C$47</definedName>
    <definedName name="d_head95ProtectionFactor">'Default values'!$C$48</definedName>
    <definedName name="d_InhalDustExp">'Default values'!$C$40</definedName>
    <definedName name="d_InhalTcAut">'Default values'!#REF!</definedName>
    <definedName name="d_InhalTcManual">'Default values'!$C$26</definedName>
    <definedName name="d_InhalTcSort">'Default values'!#REF!</definedName>
    <definedName name="d_MAF1">'Default values'!$C$25</definedName>
    <definedName name="d_MAF2">'Default values'!$D$25</definedName>
    <definedName name="d_MAF3">'Default values'!$E$25</definedName>
    <definedName name="d_MAF4">'Default values'!$F$25</definedName>
    <definedName name="d_MouthGrass">'Default values'!$C$28</definedName>
    <definedName name="d_PctExtrapolation">'Default values'!$C$46</definedName>
    <definedName name="d_ReExpDur">'Default values'!$C$29</definedName>
    <definedName name="d_ReExpDurInhal">'Default values'!$C$30</definedName>
    <definedName name="d_ReFreqHM">'Default values'!$C$32</definedName>
    <definedName name="d_ReTCAd">'Default values'!$C$33</definedName>
    <definedName name="d_ReTCCh">'Default values'!$C$34</definedName>
    <definedName name="d_SalExt">'Default values'!$C$35</definedName>
    <definedName name="d_soilDensity">'Default values'!$C$39</definedName>
    <definedName name="d_soilDepth">'Default values'!$C$38</definedName>
    <definedName name="d_SVC1">'Default values'!$C$23</definedName>
    <definedName name="d_SVC2">'Default values'!$D$23</definedName>
    <definedName name="d_SVC3">'Default values'!$E$23</definedName>
    <definedName name="d_SVC4">'Default values'!$F$23</definedName>
    <definedName name="d_TcEntryAd">'Default values'!$C$41</definedName>
    <definedName name="d_TcEntryCh">'Default values'!$C$42</definedName>
    <definedName name="d_TcEntryMeanAd">'Default values'!$C$43</definedName>
    <definedName name="d_TcEntryMeanCh">'Default values'!$C$44</definedName>
    <definedName name="d_TTR1">'Default values'!$C$20</definedName>
    <definedName name="d_TTR2">'Default values'!$D$20</definedName>
    <definedName name="d_TTR3">'Default values'!$E$20</definedName>
    <definedName name="d_TTR4">'Default values'!$F$20</definedName>
    <definedName name="d_Turf">'Default values'!$C$45</definedName>
    <definedName name="d_VC1">Bystander!$C$17</definedName>
    <definedName name="d_VC2">Bystander!$F$17</definedName>
    <definedName name="d_VC3">Bystander!$J$17</definedName>
    <definedName name="d_VC4">Bystander!$N$17</definedName>
    <definedName name="d_WorkHr">Worker!$B$22</definedName>
    <definedName name="Driftreduction">'Data entry'!$F$13</definedName>
    <definedName name="DrOnSurface75" localSheetId="18">Resident!$D$27</definedName>
    <definedName name="DrOnSurfaceMean" localSheetId="18">Resident!$D$28</definedName>
    <definedName name="ExterneDaten_10" localSheetId="3" hidden="1">opex_AOEM95_hm!$B$1:$G$59</definedName>
    <definedName name="ExterneDaten_11" localSheetId="2" hidden="1">opex_indoor75_hm!$B$1:$G$59</definedName>
    <definedName name="ExterneDaten_12" localSheetId="4" hidden="1">opex_indoor95_hm!$B$1:$G$59</definedName>
    <definedName name="ExterneDaten_3" localSheetId="15" hidden="1">cropsWorker!$A$2:$N$134</definedName>
    <definedName name="ExterneDaten_9" localSheetId="5" hidden="1">opex_AOEM75_hm!$B$1:$G$59</definedName>
    <definedName name="Fieldcrops">'Look up'!$A$50:$A$51</definedName>
    <definedName name="Fieldcropsinout">'Look up'!$A$79</definedName>
    <definedName name="FieldCropsTSF">'Look up'!$A$64</definedName>
    <definedName name="Fieldcropsupdown">'Look up'!$A$78</definedName>
    <definedName name="foliage">'Look up'!$D$35:$D$36</definedName>
    <definedName name="Gloves_Y_N" localSheetId="11">'Operator Granules'!$C$18</definedName>
    <definedName name="GranulesIndoor">'Look up'!$D$31</definedName>
    <definedName name="GranulesOutdoor">'Look up'!$D$26:$D$28</definedName>
    <definedName name="HCVM">'Look up'!$F$2:$F$3</definedName>
    <definedName name="Highornamentals">'Look up'!$D$56:$D$57</definedName>
    <definedName name="Highornamentalsinout">'Look up'!$D$89:$D$91</definedName>
    <definedName name="HighornamentalsTSF">'Look up'!$D$70:$D$73</definedName>
    <definedName name="Highornamentalsupdown">'Look up'!$D$87:$D$88</definedName>
    <definedName name="Highvegetables">'Look up'!$G$56:$G$57</definedName>
    <definedName name="Highvegetablesinout">'Look up'!$G$89:$G$91</definedName>
    <definedName name="HighvegetablesTSF">'Look up'!$G$70:$G$73</definedName>
    <definedName name="Highvegetablesupdown">'Look up'!$G$87:$G$88</definedName>
    <definedName name="Hole_D15" localSheetId="9">MHH!$D$17</definedName>
    <definedName name="Hole_D15" localSheetId="8">Trolley!$D$17</definedName>
    <definedName name="Hole_D16" localSheetId="9">MHH!$D$18</definedName>
    <definedName name="Hole_D16" localSheetId="8">Trolley!$D$18</definedName>
    <definedName name="Hole_D17" localSheetId="9">MHH!$D$19</definedName>
    <definedName name="Hole_D17" localSheetId="8">Trolley!$D$19</definedName>
    <definedName name="Hole_D18" localSheetId="9">MHH!$D$20</definedName>
    <definedName name="Hole_D18" localSheetId="8">Trolley!$D$20</definedName>
    <definedName name="Hole_D19" localSheetId="9">MHH!$D$21</definedName>
    <definedName name="Hole_D19" localSheetId="8">Trolley!$D$21</definedName>
    <definedName name="Hole_D20" localSheetId="9">MHH!$D$22</definedName>
    <definedName name="Hole_D20" localSheetId="8">Trolley!$D$22</definedName>
    <definedName name="Hole_D21" localSheetId="9">MHH!$D$23</definedName>
    <definedName name="Hole_D21" localSheetId="8">Trolley!$D$23</definedName>
    <definedName name="Hole_D25" localSheetId="9">MHH!$D$27</definedName>
    <definedName name="Hole_D25" localSheetId="8">Trolley!$D$27</definedName>
    <definedName name="Hole_D30" localSheetId="9">MHH!$D$32</definedName>
    <definedName name="Hole_D30" localSheetId="8">Trolley!$D$32</definedName>
    <definedName name="Hole_D30_DataEntry" localSheetId="6">'Data entry'!$D$16</definedName>
    <definedName name="Hole_D31" localSheetId="9">MHH!$D$33</definedName>
    <definedName name="Hole_D31" localSheetId="8">Trolley!$D$33</definedName>
    <definedName name="Hole_D32" localSheetId="9">MHH!$D$34</definedName>
    <definedName name="Hole_D32" localSheetId="8">Trolley!$D$34</definedName>
    <definedName name="Hole_D33" localSheetId="9">MHH!$D$35</definedName>
    <definedName name="Hole_D33" localSheetId="8">Trolley!$D$35</definedName>
    <definedName name="Hole_D34" localSheetId="9">MHH!$D$36</definedName>
    <definedName name="Hole_D34" localSheetId="8">Trolley!$D$36</definedName>
    <definedName name="Hole_D35" localSheetId="9">MHH!$D$37</definedName>
    <definedName name="Hole_D35" localSheetId="8">Trolley!$D$37</definedName>
    <definedName name="Hole_D39" localSheetId="9">MHH!$D$41</definedName>
    <definedName name="Hole_D39" localSheetId="8">Trolley!$D$41</definedName>
    <definedName name="Hole_F25" localSheetId="9">MHH!$L$27</definedName>
    <definedName name="Hole_F25" localSheetId="8">Trolley!$L$27</definedName>
    <definedName name="Hole_F39" localSheetId="9">MHH!$L$41</definedName>
    <definedName name="Hole_F39" localSheetId="8">Trolley!$L$41</definedName>
    <definedName name="Hole_G25" localSheetId="9">MHH!$M$27</definedName>
    <definedName name="Hole_G25" localSheetId="8">Trolley!$M$27</definedName>
    <definedName name="Hole_G39" localSheetId="9">MHH!$M$41</definedName>
    <definedName name="Hole_G39" localSheetId="8">Trolley!$M$41</definedName>
    <definedName name="Hops">'Look up'!$B$50:$B$51</definedName>
    <definedName name="Hopsinout">'Look up'!$B$80</definedName>
    <definedName name="HopsTSF">'Look up'!$B$64</definedName>
    <definedName name="Hopsupdown">'Look up'!$B$78:$B$79</definedName>
    <definedName name="i_AAOEL1">'Data entry'!$D$27</definedName>
    <definedName name="i_AAOEL2">'Data entry'!$E$27</definedName>
    <definedName name="i_AAOEL3">'Data entry'!$F$27</definedName>
    <definedName name="i_AAOEL4">'Data entry'!$G$27</definedName>
    <definedName name="i_AbsorpInhalation1">'Data entry'!$D$34</definedName>
    <definedName name="i_AbsorpInhalation2">'Data entry'!$E$34</definedName>
    <definedName name="i_AbsorpInhalation3">'Data entry'!$F$34</definedName>
    <definedName name="i_AbsorpInhalation4">'Data entry'!$G$34</definedName>
    <definedName name="i_AbsorpInuse1">'Data entry'!$D$32</definedName>
    <definedName name="i_AbsorpInuse2">'Data entry'!$E$32</definedName>
    <definedName name="i_AbsorpInuse3">'Data entry'!$F$32</definedName>
    <definedName name="i_AbsorpInuse4">'Data entry'!$G$32</definedName>
    <definedName name="i_AbsorpOralInuse1">'Data entry'!$D$33</definedName>
    <definedName name="i_AbsorpOralInuse2">'Data entry'!$E$33</definedName>
    <definedName name="i_AbsorpOralInuse3">'Data entry'!$F$33</definedName>
    <definedName name="i_AbsorpOralInuse4">'Data entry'!$G$33</definedName>
    <definedName name="i_AbsorpProduct1">'Data entry'!$D$31</definedName>
    <definedName name="i_AbsorpProduct2">'Data entry'!$E$31</definedName>
    <definedName name="i_AbsorpProduct3">'Data entry'!$F$31</definedName>
    <definedName name="i_AbsorpProduct4">'Data entry'!$G$31</definedName>
    <definedName name="i_activity">'Data entry'!$D$6</definedName>
    <definedName name="i_AmountAS1" localSheetId="9">MHH!$D$4</definedName>
    <definedName name="i_AmountAS1" localSheetId="8">Trolley!$D$4</definedName>
    <definedName name="i_AmountAS1">'Operator Spray'!$D$4</definedName>
    <definedName name="i_AmountAS2" localSheetId="9">MHH!$F$4</definedName>
    <definedName name="i_AmountAS2" localSheetId="8">Trolley!$F$4</definedName>
    <definedName name="i_AmountAS2">'Operator Spray'!$F$4</definedName>
    <definedName name="i_AmountAS3" localSheetId="9">MHH!$H$4</definedName>
    <definedName name="i_AmountAS3" localSheetId="8">Trolley!$H$4</definedName>
    <definedName name="i_AmountAS3">'Operator Spray'!$H$4</definedName>
    <definedName name="i_AmountAS4" localSheetId="9">MHH!$J$4</definedName>
    <definedName name="i_AmountAS4" localSheetId="8">Trolley!$J$4</definedName>
    <definedName name="i_AmountAS4">'Operator Spray'!$J$4</definedName>
    <definedName name="i_AOEL1">'Data entry'!$D$26</definedName>
    <definedName name="i_AOEL2">'Data entry'!$E$26</definedName>
    <definedName name="i_AOEL3">'Data entry'!$F$26</definedName>
    <definedName name="i_AOEL4">'Data entry'!$G$26</definedName>
    <definedName name="i_AppEquip">'Data entry'!$D$13</definedName>
    <definedName name="i_AppInt">'Data entry'!$D$16</definedName>
    <definedName name="i_AppMeth">'Data entry'!$D$12</definedName>
    <definedName name="i_AppNo">'Data entry'!$D$15</definedName>
    <definedName name="i_AppPPEBody">'Operator Granules'!$C$28</definedName>
    <definedName name="i_AppPPEHands">'Operator Granules'!$C$27</definedName>
    <definedName name="i_AppRateAS1">'Data entry'!$D$24</definedName>
    <definedName name="i_AppRateAS2">'Data entry'!$E$24</definedName>
    <definedName name="i_AppRateAS3">'Data entry'!$F$24</definedName>
    <definedName name="i_AppRateAS4">'Data entry'!$G$24</definedName>
    <definedName name="i_AppRatePPP">'Data entry'!$D$9</definedName>
    <definedName name="i_Buffer" localSheetId="6">'Data entry'!$D$14</definedName>
    <definedName name="i_Buffer">'Data entry'!$D$14</definedName>
    <definedName name="i_ByCropType">IF(AND(i_CropType="Cane fruit/high berries", LEFT(InOut,3)="Ind"),"Grapes",INDEX(ay_CropType,MATCH(i_CropType,key_CropType,0),8))</definedName>
    <definedName name="i_CropType">'Data entry'!$C$6</definedName>
    <definedName name="i_DFR1">'Data entry'!$D$30</definedName>
    <definedName name="i_DFR2">'Data entry'!$E$30</definedName>
    <definedName name="i_DFR3">'Data entry'!$F$30</definedName>
    <definedName name="i_DFR4">'Data entry'!$G$30</definedName>
    <definedName name="i_DT50_1">'Data entry'!$D$29</definedName>
    <definedName name="i_DT50_2">'Data entry'!$E$29</definedName>
    <definedName name="i_DT50_3">'Data entry'!$F$29</definedName>
    <definedName name="i_DT50_4">'Data entry'!$G$29</definedName>
    <definedName name="i_FormVal">'Data entry'!$D$4</definedName>
    <definedName name="i_IndoorOutdoor">SUBSTITUTE('Data entry'!$D$8,", ","")</definedName>
    <definedName name="i_MaxVol">'Data entry'!$D$11</definedName>
    <definedName name="i_MinVol">'Data entry'!$D$10</definedName>
    <definedName name="i_MW1">'Data entry'!$D$36</definedName>
    <definedName name="i_MW2">'Data entry'!$E$36</definedName>
    <definedName name="i_MW3">'Data entry'!$F$36</definedName>
    <definedName name="i_MW4">'Data entry'!$G$36</definedName>
    <definedName name="I_PPE_appl" localSheetId="9">MHH!$D$40</definedName>
    <definedName name="I_PPE_appl" localSheetId="8">Trolley!$D$40</definedName>
    <definedName name="I_PPE_appl">'Operator Spray'!$D$40</definedName>
    <definedName name="i_ProdCat">'Data entry'!$E$4</definedName>
    <definedName name="i_ProductName">'Data entry'!$D$3</definedName>
    <definedName name="i_Season">'Data entry'!$D$17</definedName>
    <definedName name="i_SubstName1">'Data entry'!$D$20</definedName>
    <definedName name="i_SubstName2">'Data entry'!$E$20</definedName>
    <definedName name="i_SubstName3">'Data entry'!$F$20</definedName>
    <definedName name="i_SubstName4">'Data entry'!$G$20</definedName>
    <definedName name="i_TSF">'Data entry'!$E$6</definedName>
    <definedName name="i_Volat1">'Data entry'!$D$43</definedName>
    <definedName name="i_Volat2">'Data entry'!$E$43</definedName>
    <definedName name="i_Volat3">'Data entry'!$F$43</definedName>
    <definedName name="i_Volat4">'Data entry'!$G$43</definedName>
    <definedName name="i_VP1">'Data entry'!$D$35</definedName>
    <definedName name="i_VP2">'Data entry'!$E$35</definedName>
    <definedName name="i_VP3">'Data entry'!$F$35</definedName>
    <definedName name="i_VP4">'Data entry'!$G$35</definedName>
    <definedName name="i_WorkActDerm">'Data entry'!$D$44</definedName>
    <definedName name="if_D23_fest" localSheetId="9">MHH!$D$25</definedName>
    <definedName name="if_D23_fest" localSheetId="8">Trolley!$D$25</definedName>
    <definedName name="if_D23_var" localSheetId="9">MHH!$D$25</definedName>
    <definedName name="if_D23_var" localSheetId="8">Trolley!$D$25</definedName>
    <definedName name="if_D24_fest" localSheetId="9">MHH!$D$26</definedName>
    <definedName name="if_D24_fest" localSheetId="8">Trolley!$D$26</definedName>
    <definedName name="if_D24_var" localSheetId="9">MHH!$D$26</definedName>
    <definedName name="if_D24_var" localSheetId="8">Trolley!$D$26</definedName>
    <definedName name="if_D25_fest" localSheetId="9">MHH!$D$27</definedName>
    <definedName name="if_D25_fest" localSheetId="8">Trolley!$D$27</definedName>
    <definedName name="if_D25_var" localSheetId="9">MHH!$D$27</definedName>
    <definedName name="if_D25_var" localSheetId="8">Trolley!$D$27</definedName>
    <definedName name="if_D37_fest" localSheetId="9">MHH!$D$39</definedName>
    <definedName name="if_D37_fest" localSheetId="8">Trolley!$D$39</definedName>
    <definedName name="if_D37_var" localSheetId="9">MHH!$D$39</definedName>
    <definedName name="if_D37_var" localSheetId="8">Trolley!$D$39</definedName>
    <definedName name="if_D38_fest" localSheetId="9">MHH!$D$40</definedName>
    <definedName name="if_D38_fest" localSheetId="8">Trolley!$D$40</definedName>
    <definedName name="if_D38_var" localSheetId="9">MHH!$D$40</definedName>
    <definedName name="if_D38_var" localSheetId="8">Trolley!$D$40</definedName>
    <definedName name="if_D39_fest" localSheetId="9">MHH!$D$41</definedName>
    <definedName name="if_D39_fest" localSheetId="8">Trolley!$D$41</definedName>
    <definedName name="if_D39_var" localSheetId="9">MHH!$D$41</definedName>
    <definedName name="if_D39_var" localSheetId="8">Trolley!$D$41</definedName>
    <definedName name="if_DR_Y_N" localSheetId="6">'Data entry'!$D$13</definedName>
    <definedName name="iMaxVol">'Data entry'!$D$11</definedName>
    <definedName name="Indoor">'Look up'!$D$13:$D$14</definedName>
    <definedName name="IndoorApplicationofgranules">'Look up'!$F$21</definedName>
    <definedName name="IndoorDense">'Look up'!$D$17:$D$18</definedName>
    <definedName name="IndoorDenseDown">'Look up'!$C$40:$C$42</definedName>
    <definedName name="IndoorDenseDownwardspraying">'Look up'!$G$9:$G$10</definedName>
    <definedName name="IndoorDenseUpwa">'Look up'!$B$40:$B$43</definedName>
    <definedName name="IndoorDenseUpwardspraying">'Look up'!$G$15:$G$16</definedName>
    <definedName name="IndoorDown">'Look up'!$C$34:$C$35</definedName>
    <definedName name="IndoorDownwardspraying">'Look up'!$F$9:$F$10</definedName>
    <definedName name="IndoorGantrysprayerorrooffogger">'Look up'!$F$25</definedName>
    <definedName name="IndoorUltralowvolumemistsprayer">'Look up'!$F$29</definedName>
    <definedName name="IndoorUpwa">'Look up'!$B$34:$B$37</definedName>
    <definedName name="IndoorUpwardspraying">'Look up'!$F$15:$F$17</definedName>
    <definedName name="InOut">'Data entry'!$D$8</definedName>
    <definedName name="key_AOEM">Operator_exposure_values_AOEM!$A$3:$A$326</definedName>
    <definedName name="key_AppPPEHands">'Small Tables'!$D$4:$D$11</definedName>
    <definedName name="key_AvgSpray">'Small Tables'!$A$70:$A$75</definedName>
    <definedName name="key_ByCropType">'Small Tables'!$A$82:$A$99</definedName>
    <definedName name="key_BySpray">'Small Tables'!$A$60:$A$65</definedName>
    <definedName name="key_CropGroup">Tabelle5[Crop]</definedName>
    <definedName name="key_CropType">'Small Tables'!$K$26:$K$44</definedName>
    <definedName name="key_MixPPEBody">'Small Tables'!$A$10:$A$12</definedName>
    <definedName name="key_MixPPEHead">'Small Tables'!$A$16:$A$20</definedName>
    <definedName name="key_MixRPE">'Small Tables'!$A$4:$A$20</definedName>
    <definedName name="key_OpExpMixL">Operator_exposure_values_PHED!$A$3:$A$14</definedName>
    <definedName name="key_ResidSpray">'Small Tables'!$A$50:$A$55</definedName>
    <definedName name="key_worker_activity">cropsWorker!$A$3:$A$134</definedName>
    <definedName name="Leafvegetablesandfreshherbs">'Look up'!#REF!</definedName>
    <definedName name="Legumevegetables">'Look up'!#REF!</definedName>
    <definedName name="list_ML">'Small Tables'!$C$16</definedName>
    <definedName name="List_PPE_appl">'Look up'!$A$33</definedName>
    <definedName name="list_TSF">'Look up'!$A$62</definedName>
    <definedName name="listapplications">'Look up'!$B$46</definedName>
    <definedName name="listinout">'Look up'!$B$76</definedName>
    <definedName name="listname">'Look up'!$B$46</definedName>
    <definedName name="Listrain">'Look up'!$A$33</definedName>
    <definedName name="listsurfacedep">'Look up'!$D$33</definedName>
    <definedName name="listupdown">'Look up'!$A$76</definedName>
    <definedName name="listworker">'Look up'!$A$46</definedName>
    <definedName name="lk_AppMeth">'Look up'!$A$7:$A$7</definedName>
    <definedName name="lk_Buffer">'Look up'!$G$2:$G$4</definedName>
    <definedName name="lk_CropType" localSheetId="15">'Small Tables'!#REF!</definedName>
    <definedName name="lk_CropType">'Small Tables'!$K$26:$K$44</definedName>
    <definedName name="lk_Formulation">'Look up'!$A$2:$A$5</definedName>
    <definedName name="lk_IndoorOutdoor">'Look up'!$A$17:$A$19</definedName>
    <definedName name="lk_MixPPEbody">'Small Tables'!$A$10:$A$12</definedName>
    <definedName name="lk_MixPPEHands">'Look up'!$D$3:$D$4</definedName>
    <definedName name="lk_MixRPE">'Small Tables'!$A$4:$A$6</definedName>
    <definedName name="lk_PPEAOEM">'Small Tables'!$A$10:$A$11</definedName>
    <definedName name="lk_PPEGranule">'Look up'!$A$27:$A$28</definedName>
    <definedName name="lk_PPEHead">'Small Tables'!$A$16:$A$18</definedName>
    <definedName name="lk_Vola">'Look up'!$A$23:$A$24</definedName>
    <definedName name="Lowberries">'Look up'!$A$56:$A$57</definedName>
    <definedName name="Lowberriesinout">'Look up'!$A$88:$A$89</definedName>
    <definedName name="LowberriesTSF">'Look up'!$A$70:$A$73</definedName>
    <definedName name="Lowberriesupdown">'Look up'!$A$87</definedName>
    <definedName name="Lowornamentals">'Look up'!$C$56:$C$57</definedName>
    <definedName name="Lowornamentalsinout">'Look up'!$C$88:$C$90</definedName>
    <definedName name="LowornamentalsTSF">'Look up'!$C$70:$C$73</definedName>
    <definedName name="Lowornamentalsupdown">'Look up'!$C$87</definedName>
    <definedName name="Lowvegetables">'Look up'!$B$56:$B$60</definedName>
    <definedName name="Lowvegetablesinout">'Look up'!$B$88:$B$90</definedName>
    <definedName name="LowvegetablesTSF">'Look up'!$B$70:$B$73</definedName>
    <definedName name="Lowvegetablesupdown">'Look up'!$B$87</definedName>
    <definedName name="ML_Gloves">'Operator Spray'!$D$25</definedName>
    <definedName name="ML_Knapsack">'Small Tables'!$D$18</definedName>
    <definedName name="ML_Tank">'Small Tables'!$C$18:$C$19</definedName>
    <definedName name="MLBodyPotSpec" localSheetId="9">MHH!$D$18</definedName>
    <definedName name="MLBodyPotSpec" localSheetId="10">'Operator Spray'!$D$18</definedName>
    <definedName name="MLBodyPotSpec" localSheetId="8">Trolley!$D$18</definedName>
    <definedName name="MLBodyPotSpecPHED" localSheetId="11">'Operator Granules'!$C$15</definedName>
    <definedName name="MLBodyPotSys" localSheetId="9">MHH!$E$60</definedName>
    <definedName name="MLBodyPotSys" localSheetId="10">'Operator Spray'!$E$60</definedName>
    <definedName name="MLBodyPotSys" localSheetId="8">Trolley!$E$60</definedName>
    <definedName name="MLBodyPotSysPHED" localSheetId="11">'Operator Granules'!$D$49</definedName>
    <definedName name="MLBodyWwSpec" localSheetId="9">MHH!$D$21</definedName>
    <definedName name="MLBodyWwSpec" localSheetId="10">'Operator Spray'!$D$21</definedName>
    <definedName name="MLBodyWwSpec" localSheetId="8">Trolley!$D$21</definedName>
    <definedName name="MLBodyWwSpecPHED" localSheetId="11">'Operator Granules'!$C$15</definedName>
    <definedName name="MLBodyWwSys" localSheetId="9">MHH!$E$66</definedName>
    <definedName name="MLBodyWwSys" localSheetId="10">'Operator Spray'!$E$66</definedName>
    <definedName name="MLBodyWwSys" localSheetId="8">Trolley!$E$66</definedName>
    <definedName name="MLBodyWwSysPHED" localSheetId="11">'Operator Granules'!$D$54</definedName>
    <definedName name="MLHandsGlovesSpec" localSheetId="9">MHH!$D$20</definedName>
    <definedName name="MLHandsGlovesSpec" localSheetId="10">'Operator Spray'!$D$20</definedName>
    <definedName name="MLHandsGlovesSpec" localSheetId="8">Trolley!$D$20</definedName>
    <definedName name="MLHandsGlovesSys" localSheetId="9">MHH!$E$65</definedName>
    <definedName name="MLHandsGlovesSys" localSheetId="10">'Operator Spray'!$E$65</definedName>
    <definedName name="MLHandsGlovesSys" localSheetId="8">Trolley!$E$65</definedName>
    <definedName name="MLHandsGlovesSysPHED" localSheetId="11">'Operator Granules'!$D$53</definedName>
    <definedName name="MLHandsPotSpec" localSheetId="9">MHH!$D$17</definedName>
    <definedName name="MLHandsPotSpec" localSheetId="10">'Operator Spray'!$D$17</definedName>
    <definedName name="MLHandsPotSpec" localSheetId="8">Trolley!$D$17</definedName>
    <definedName name="MLHandsPotSpecPHED" localSheetId="11">'Operator Granules'!$C$14</definedName>
    <definedName name="MLHandsPotSys" localSheetId="9">MHH!$E$59</definedName>
    <definedName name="MLHandsPotSys" localSheetId="10">'Operator Spray'!$E$59</definedName>
    <definedName name="MLHandsPotSys" localSheetId="8">Trolley!$E$59</definedName>
    <definedName name="MLHandsPotSysPHED" localSheetId="11">'Operator Granules'!$D$48</definedName>
    <definedName name="MLHeadPotSpec" localSheetId="9">MHH!$D$19</definedName>
    <definedName name="MLHeadPotSpec" localSheetId="10">'Operator Spray'!$D$19</definedName>
    <definedName name="MLHeadPotSpec" localSheetId="8">Trolley!$D$19</definedName>
    <definedName name="MLHeadPotSys" localSheetId="9">MHH!$E$61</definedName>
    <definedName name="MLHeadPotSys" localSheetId="10">'Operator Spray'!$E$61</definedName>
    <definedName name="MLHeadPotSys" localSheetId="8">Trolley!$E$61</definedName>
    <definedName name="MLHeadPPESpec" localSheetId="9">MHH!$D$22</definedName>
    <definedName name="MLHeadPPESpec" localSheetId="10">'Operator Spray'!$D$22</definedName>
    <definedName name="MLHeadPPESpec" localSheetId="8">Trolley!$D$22</definedName>
    <definedName name="MLHeadPPESys" localSheetId="9">MHH!$E$67</definedName>
    <definedName name="MLHeadPPESys" localSheetId="10">'Operator Spray'!$E$67</definedName>
    <definedName name="MLHeadPPESys" localSheetId="8">Trolley!$E$67</definedName>
    <definedName name="MLHeadResPPE" localSheetId="9">MHH!$D$27</definedName>
    <definedName name="MLHeadResPPE" localSheetId="10">'Operator Spray'!$D$27</definedName>
    <definedName name="MLHeadResPPE" localSheetId="8">Trolley!$D$27</definedName>
    <definedName name="MLHeadResPPE">'Operator Spray'!$D$27</definedName>
    <definedName name="MLInhalPotSpec" localSheetId="9">MHH!$D$23</definedName>
    <definedName name="MLInhalPotSpec" localSheetId="10">'Operator Spray'!$D$23</definedName>
    <definedName name="MLInhalPotSpec" localSheetId="8">Trolley!$D$23</definedName>
    <definedName name="MLInhalPotSpecPHED" localSheetId="11">'Operator Granules'!$C$16</definedName>
    <definedName name="MLInhalPotSys" localSheetId="9">MHH!$E$62</definedName>
    <definedName name="MLInhalPotSys" localSheetId="10">'Operator Spray'!$E$62</definedName>
    <definedName name="MLInhalPotSys" localSheetId="8">Trolley!$E$62</definedName>
    <definedName name="MLInhalPotSysPHED" localSheetId="11">'Operator Granules'!$D$50</definedName>
    <definedName name="MLInhalPPESpec" localSheetId="9">MHH!$D$27</definedName>
    <definedName name="MLInhalPPESpec" localSheetId="10">'Operator Spray'!$D$27</definedName>
    <definedName name="MLInhalPPESpec" localSheetId="8">Trolley!$D$27</definedName>
    <definedName name="MLInhalPPESys" localSheetId="9">MHH!$E$68</definedName>
    <definedName name="MLInhalPPESys" localSheetId="10">'Operator Spray'!$E$68</definedName>
    <definedName name="MLInhalPPESys" localSheetId="8">Trolley!$E$68</definedName>
    <definedName name="MLInhalPPESysPHED" localSheetId="11">'Operator Granules'!$D$55</definedName>
    <definedName name="MLInhPenFactorAOEM" localSheetId="9">MHH!$M$27</definedName>
    <definedName name="MLInhPenFactorAOEM" localSheetId="10">'Operator Spray'!$M$27</definedName>
    <definedName name="MLInhPenFactorAOEM" localSheetId="8">Trolley!$M$27</definedName>
    <definedName name="MLPenFactorAOEM" localSheetId="9">MHH!$L$27</definedName>
    <definedName name="MLPenFactorAOEM" localSheetId="10">'Operator Spray'!$L$27</definedName>
    <definedName name="MLPenFactorAOEM" localSheetId="8">Trolley!$L$27</definedName>
    <definedName name="MLPenFactorPHED" localSheetId="11">'Operator Granules'!$K$20</definedName>
    <definedName name="NA">'Look up'!$I$56</definedName>
    <definedName name="Nogloves">'Small Tables'!$G$18</definedName>
    <definedName name="nonHCVM">'Look up'!$F$4</definedName>
    <definedName name="Normal">'Look up'!$A$35:$A$36</definedName>
    <definedName name="Oilfruits">'Look up'!$F$50:$F$52</definedName>
    <definedName name="Oilfruitsinout">'Look up'!$F$80</definedName>
    <definedName name="OilfruitsTSF">'Look up'!$F$64</definedName>
    <definedName name="Oilfruitsupdown">'Look up'!$F$78:$F$79</definedName>
    <definedName name="Orchards">'Look up'!$D$50:$D$52</definedName>
    <definedName name="Orchardsinout">'Look up'!$D$80:$D$80</definedName>
    <definedName name="OrchardsTSF">'Look up'!$D$64</definedName>
    <definedName name="Orchardsupdown">'Look up'!$D$78:$D$79</definedName>
    <definedName name="Ornamentals">'Look up'!#REF!</definedName>
    <definedName name="OtherCrops">'Look up'!$E$35</definedName>
    <definedName name="Others">'Look up'!$A$9</definedName>
    <definedName name="Outdoor">'Look up'!$D$21:$D$22</definedName>
    <definedName name="OutdoorBroadcast">'Look up'!$G$29:$G$29</definedName>
    <definedName name="OutdoorDenseUpwardspraying">'Look up'!#REF!</definedName>
    <definedName name="OutdoorDownwardspraying">'Look up'!$H$9:$H$11</definedName>
    <definedName name="OutdoorInfurrow">'Look up'!$G$32:$G$32</definedName>
    <definedName name="OutdoorManual">'Look up'!$G$35</definedName>
    <definedName name="OutdoorUpwardspraying">'Look up'!$G$22:$G$24</definedName>
    <definedName name="Pomefruit">'Look up'!$D$35:$D$36</definedName>
    <definedName name="prozAOEL_Op_AOEMmPPE" localSheetId="9">MHH!$E$49</definedName>
    <definedName name="prozAOEL_Op_AOEMmPPE" localSheetId="10">'Operator Spray'!$E$49</definedName>
    <definedName name="prozAOEL_Op_AOEMmPPE" localSheetId="8">Trolley!$E$49</definedName>
    <definedName name="prozAOEL_Op_AOEMoPPE" localSheetId="9">MHH!$D$49</definedName>
    <definedName name="prozAOEL_Op_AOEMoPPE" localSheetId="10">'Operator Spray'!$D$49</definedName>
    <definedName name="prozAOEL_Op_AOEMoPPE" localSheetId="8">Trolley!$D$49</definedName>
    <definedName name="prozAOEL_Op_PHEDmPPE" localSheetId="11">'Operator Granules'!$D$37</definedName>
    <definedName name="prozAOEL_Op_PHEDoPPE" localSheetId="11">'Operator Granules'!$C$37</definedName>
    <definedName name="prozAOEL_ResEntryAd" localSheetId="18">Resident!$E$39</definedName>
    <definedName name="prozAOEL_ResEntryCh" localSheetId="18">Resident!$E$35</definedName>
    <definedName name="prozAOEL_ResMeanAd" localSheetId="18">Resident!$F$39</definedName>
    <definedName name="prozAOEL_ResMeanCh" localSheetId="18">Resident!$F$35</definedName>
    <definedName name="prozAOEL_ResSDAd" localSheetId="18">Resident!$D$39</definedName>
    <definedName name="prozAOEL_ResSDCh" localSheetId="18">Resident!$D$35</definedName>
    <definedName name="prozAOEL_ResSpDrAd" localSheetId="18">Resident!$B$39</definedName>
    <definedName name="prozAOEL_ResSpDrCh" localSheetId="19">Bystander!#REF!</definedName>
    <definedName name="prozAOEL_ResSpDrCh" localSheetId="18">Resident!$B$35</definedName>
    <definedName name="prozAOEL_ResVapAd" localSheetId="18">Resident!$C$39</definedName>
    <definedName name="prozAOEL_ResVapCh" localSheetId="18">Resident!$C$35</definedName>
    <definedName name="prozAOEL_w_oPPE" localSheetId="13">Worker!$B$33</definedName>
    <definedName name="prozAOEL_w_ww" localSheetId="13">Worker!$C$33</definedName>
    <definedName name="prozAOEL_w_wwg" localSheetId="13">Worker!$D$33</definedName>
    <definedName name="prozAOELAllAd" localSheetId="18">Resident!$F$39</definedName>
    <definedName name="prozAOELAllCh" localSheetId="18">Resident!$F$35</definedName>
    <definedName name="prozAOELEntryAd" localSheetId="18">Resident!$E$39</definedName>
    <definedName name="prozAOELEntryTotCh" localSheetId="18">Resident!$E$35</definedName>
    <definedName name="prozAOELPot" localSheetId="9">MHH!$D$49</definedName>
    <definedName name="prozAOELPot" localSheetId="10">'Operator Spray'!$D$49</definedName>
    <definedName name="prozAOELPot" localSheetId="8">Trolley!$D$49</definedName>
    <definedName name="prozAOELPotPHED" localSheetId="11">'Operator Granules'!$C$37</definedName>
    <definedName name="prozAOELPPE" localSheetId="9">MHH!$E$49</definedName>
    <definedName name="prozAOELPPE" localSheetId="10">'Operator Spray'!$E$49</definedName>
    <definedName name="prozAOELPPE" localSheetId="8">Trolley!$E$49</definedName>
    <definedName name="prozAOELPPEPHED" localSheetId="11">'Operator Granules'!$D$37</definedName>
    <definedName name="prozAOELSD75Ad" localSheetId="18">Resident!$D$39</definedName>
    <definedName name="prozAOELSD75Ch" localSheetId="18">Resident!$D$35</definedName>
    <definedName name="prozAOELSpDr75Ad" localSheetId="18">Resident!$B$39</definedName>
    <definedName name="prozAOELSpDr75Ch" localSheetId="18">Resident!$B$35</definedName>
    <definedName name="prozAOELVap75Ad" localSheetId="18">Resident!$C$39</definedName>
    <definedName name="prozAOELVap75Ch" localSheetId="18">Resident!$C$35</definedName>
    <definedName name="r_WorkHr">#REF!</definedName>
    <definedName name="Rainsuit" localSheetId="9">MHH!#REF!</definedName>
    <definedName name="Rainsuit" localSheetId="8">Trolley!#REF!</definedName>
    <definedName name="Rainsuit">'Operator Spray'!#REF!</definedName>
    <definedName name="RecSysExpAdDerm" localSheetId="20">'Recreational Exposure'!$C$34</definedName>
    <definedName name="RecSysExpAdProzAOEL" localSheetId="20">'Recreational Exposure'!$C$35</definedName>
    <definedName name="RecSysExpChDerm" localSheetId="20">'Recreational Exposure'!$C$28</definedName>
    <definedName name="RecSysExpChHtoM" localSheetId="20">'Recreational Exposure'!$C$29</definedName>
    <definedName name="RecSysExpChObjtoM" localSheetId="20">'Recreational Exposure'!$C$30</definedName>
    <definedName name="RecSysExpChProzAOEL" localSheetId="20">'Recreational Exposure'!$C$32</definedName>
    <definedName name="RecSysExpChTotal" localSheetId="20">'Recreational Exposure'!$C$31</definedName>
    <definedName name="ResDermSD75Ad" localSheetId="18">Resident!$D$18</definedName>
    <definedName name="ResDermSD75Ch" localSheetId="18">Resident!$D$19</definedName>
    <definedName name="ResDermSDmeanAd" localSheetId="18">Resident!$D$22</definedName>
    <definedName name="ResDermSDmeanCh" localSheetId="18">Resident!$D$23</definedName>
    <definedName name="ResInhalSD75Ad" localSheetId="18">Resident!$D$20</definedName>
    <definedName name="ResInhalSD75Ch" localSheetId="18">Resident!$D$21</definedName>
    <definedName name="ResInhalSDmeanAd" localSheetId="18">Resident!$D$24</definedName>
    <definedName name="ResInhalSDmeanCh" localSheetId="18">Resident!$D$25</definedName>
    <definedName name="Rootandtubervegetables">'Look up'!#REF!</definedName>
    <definedName name="Scenario" localSheetId="7">Summary!$B$2</definedName>
    <definedName name="Season" localSheetId="6">'Data entry'!$D$17</definedName>
    <definedName name="skinAdhSoil">'Default values'!$C$49</definedName>
    <definedName name="Stonefruit">'Look up'!$D$35:$D$36</definedName>
    <definedName name="Strawberryindoor">'Look up'!$H$56:$H$58</definedName>
    <definedName name="Strawberryindoorinout">'Look up'!$H$90:$H$91</definedName>
    <definedName name="StrawberryindoorTSF">'Look up'!$H$70:$H$72</definedName>
    <definedName name="Strawberryindoorupdown">'Look up'!$H$88:$H$89</definedName>
    <definedName name="Strawberryoutdoor">'Look up'!$J$50:$J$51</definedName>
    <definedName name="Strawberryoutdoorinout">'Look up'!$J$79</definedName>
    <definedName name="StrawberryoutdoorTSF">'Look up'!$J$64</definedName>
    <definedName name="Strawberryoutdoorupdown">'Look up'!$J$78</definedName>
    <definedName name="sys_KeyOperator" localSheetId="9">MHH!$B$13</definedName>
    <definedName name="sys_KeyOperator" localSheetId="8">Trolley!$B$13</definedName>
    <definedName name="sys_KeyOperator">'Operator Spray'!$B$13</definedName>
    <definedName name="sys_keyworker">'Data entry'!$C$6&amp;'Data entry'!$D$6&amp;'Data entry'!$E$6&amp;'Data entry'!$E$4</definedName>
    <definedName name="sys_OperatorModel">'Default values'!$C$51</definedName>
    <definedName name="SysExpoAllAd" localSheetId="18">Resident!$F$38</definedName>
    <definedName name="SysExpoAllCh" localSheetId="18">Resident!$F$34</definedName>
    <definedName name="SysExpoEntryAd" localSheetId="18">Resident!$E$38</definedName>
    <definedName name="SysExpoEntryDermCh" localSheetId="18">Resident!$D$50</definedName>
    <definedName name="SysExpoEntryHtoM" localSheetId="18">Resident!$D$51</definedName>
    <definedName name="SysExpoEntryObjM" localSheetId="18">Resident!$D$52</definedName>
    <definedName name="SysExpoEntryTotCh" localSheetId="18">Resident!$E$34</definedName>
    <definedName name="SysExpoSD75Ad" localSheetId="18">Resident!$D$38</definedName>
    <definedName name="SysExpoSD75Ad_2" localSheetId="18">Resident!$D$38</definedName>
    <definedName name="SysExpoSD75DermCh" localSheetId="18">Resident!$D$46</definedName>
    <definedName name="SysExpoSD75HtoM" localSheetId="18">Resident!$D$47</definedName>
    <definedName name="SysExpoSD75ObjM" localSheetId="18">Resident!$D$48</definedName>
    <definedName name="SysExpoSD75TotCh" localSheetId="18">Resident!$D$34</definedName>
    <definedName name="SysExpoSpDr75Ad" localSheetId="18">Resident!$B$38</definedName>
    <definedName name="SysExpoSpDr75Ch" localSheetId="18">Resident!$B$34</definedName>
    <definedName name="SysExpoVap75Ad" localSheetId="18">Resident!$C$38</definedName>
    <definedName name="SysExpoVap75Ch" localSheetId="18">Resident!$C$34</definedName>
    <definedName name="TADOp_AOEMmPPE" localSheetId="9">MHH!$E$48</definedName>
    <definedName name="TADOp_AOEMmPPE" localSheetId="10">'Operator Spray'!$E$48</definedName>
    <definedName name="TADOp_AOEMmPPE" localSheetId="8">Trolley!$E$48</definedName>
    <definedName name="TADOp_AOEMoPPE" localSheetId="9">MHH!$D$48</definedName>
    <definedName name="TADOp_AOEMoPPE" localSheetId="10">'Operator Spray'!$D$48</definedName>
    <definedName name="TADOp_AOEMoPPE" localSheetId="8">Trolley!$D$48</definedName>
    <definedName name="TADOp_PHEDmPPE" localSheetId="11">'Operator Granules'!$D$36</definedName>
    <definedName name="TADOp_PHEDoPPE" localSheetId="11">'Operator Granules'!$C$36</definedName>
    <definedName name="TADResEntryAd" localSheetId="18">Resident!$E$38</definedName>
    <definedName name="TADResEntryCh" localSheetId="18">Resident!$E$34</definedName>
    <definedName name="TADResMeanAd" localSheetId="18">Resident!$F$38</definedName>
    <definedName name="TADResMeanCh" localSheetId="18">Resident!$F$34</definedName>
    <definedName name="TADResSDAd" localSheetId="18">Resident!$D$38</definedName>
    <definedName name="TADResSDCh" localSheetId="18">Resident!$D$34</definedName>
    <definedName name="TADResSprDrAd" localSheetId="18">Resident!$B$38</definedName>
    <definedName name="TADResSprDrCh" localSheetId="18">Resident!$B$34</definedName>
    <definedName name="TADResVapAd" localSheetId="18">Resident!$C$38</definedName>
    <definedName name="TADResVapCh" localSheetId="18">Resident!$C$34</definedName>
    <definedName name="TADw_oPPE" localSheetId="13">Worker!$B$32</definedName>
    <definedName name="TADw_ww" localSheetId="13">Worker!$C$32</definedName>
    <definedName name="TADw_wwg" localSheetId="13">Worker!$D$32</definedName>
    <definedName name="TotalPotSysExp" localSheetId="9">MHH!$D$48</definedName>
    <definedName name="TotalPotSysExp" localSheetId="10">'Operator Spray'!$D$48</definedName>
    <definedName name="TotalPotSysExp" localSheetId="8">Trolley!$D$48</definedName>
    <definedName name="TotalPotSysExpPHED" localSheetId="11">'Operator Granules'!$C$36</definedName>
    <definedName name="TotalPPESysExp" localSheetId="9">MHH!$E$48</definedName>
    <definedName name="TotalPPESysExp" localSheetId="10">'Operator Spray'!$E$48</definedName>
    <definedName name="TotalPPESysExp" localSheetId="8">Trolley!$E$48</definedName>
    <definedName name="TotalPPESysExpPHED" localSheetId="11">'Operator Granules'!$D$36</definedName>
    <definedName name="Treenuts">'Look up'!$D$35:$D$36</definedName>
    <definedName name="Type_PPE_RPE" localSheetId="9">MHH!$B$3</definedName>
    <definedName name="Type_PPE_RPE" localSheetId="10">'Operator Spray'!$B$3</definedName>
    <definedName name="Type_PPE_RPE" localSheetId="8">Trolley!$B$3</definedName>
    <definedName name="UpwardFruitCrops">'Look up'!$D$35:$D$36</definedName>
    <definedName name="Viticulture">'Look up'!$C$50:$C$51</definedName>
    <definedName name="Viticultureinout">'Look up'!$C$80</definedName>
    <definedName name="ViticultureTSF">'Look up'!$C$64</definedName>
    <definedName name="Viticultureupdown">'Look up'!$C$78:$C$79</definedName>
    <definedName name="VMHHIndoorDensedown">'Look up'!$F$95:$F$96</definedName>
    <definedName name="VMHHIndoorDenseupwa">'Look up'!$G$95:$G$96</definedName>
    <definedName name="VMHHIndoordown">'Look up'!$D$95:$D$96</definedName>
    <definedName name="VMHHIndoorupwa">'Look up'!$E$95:$E$97</definedName>
    <definedName name="VMHHOutdoordensedown">'Look up'!#REF!</definedName>
    <definedName name="VMHHOutdoordenseupwa">'Look up'!#REF!</definedName>
    <definedName name="VMHHOutdoordown">'Look up'!$B$95:$B$97</definedName>
    <definedName name="VMHHOutdoorupwa">'Look up'!$C$95:$C$97</definedName>
    <definedName name="VMOutdoordown">'Look up'!$A$95</definedName>
    <definedName name="w_task" localSheetId="13">Worker!$B$6</definedName>
    <definedName name="WorkerDermPotSys" localSheetId="13">Worker!$C$38</definedName>
    <definedName name="WorkerDermWwGlSys" localSheetId="13">Worker!$C$40</definedName>
    <definedName name="WorkerDermWwSys" localSheetId="13">Worker!$C$39</definedName>
    <definedName name="WorkerInhalPotSys" localSheetId="13">Worker!$C$42</definedName>
    <definedName name="WorkerInhalWwSys" localSheetId="13">Worker!#REF!</definedName>
    <definedName name="WorkerProzAOELpot" localSheetId="13">Worker!$B$33</definedName>
    <definedName name="WorkerProzAOELWw" localSheetId="13">Worker!$C$33</definedName>
    <definedName name="WorkerProzAOELWwGl" localSheetId="13">Worker!$D$33</definedName>
    <definedName name="WorkerTotPotSys" localSheetId="13">Worker!$B$32</definedName>
    <definedName name="WorkerTotWwGlSys" localSheetId="13">Worker!$D$32</definedName>
    <definedName name="WorkerTotWwSys" localSheetId="13">Worker!$C$32</definedName>
    <definedName name="WSB_Y_N" localSheetId="9">MHH!$D$28</definedName>
    <definedName name="WSB_Y_N" localSheetId="10">'Operator Spray'!$D$28</definedName>
    <definedName name="WSB_Y_N" localSheetId="8">Trolley!$D$28</definedName>
    <definedName name="YN">'Look up'!$F$2:$F$3</definedName>
    <definedName name="YNRelevant">'Look up'!$F$2:$F$4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6" i="56" l="1"/>
  <c r="A4" i="92"/>
  <c r="E8" i="2"/>
  <c r="C48" i="60"/>
  <c r="C47" i="60"/>
  <c r="E16" i="56" l="1" a="1"/>
  <c r="A41" i="3"/>
  <c r="F27" i="90"/>
  <c r="M41" i="90"/>
  <c r="M27" i="90"/>
  <c r="L41" i="90"/>
  <c r="L27" i="90"/>
  <c r="I9" i="91"/>
  <c r="I45" i="91"/>
  <c r="I81" i="91"/>
  <c r="I99" i="91"/>
  <c r="I135" i="91"/>
  <c r="I171" i="91"/>
  <c r="I184" i="91"/>
  <c r="I225" i="91"/>
  <c r="I243" i="91"/>
  <c r="I257" i="91"/>
  <c r="I294" i="91"/>
  <c r="I311" i="91"/>
  <c r="A134" i="71" l="1"/>
  <c r="A133" i="71"/>
  <c r="A132" i="71"/>
  <c r="A131" i="71"/>
  <c r="A130" i="71"/>
  <c r="A129" i="71"/>
  <c r="A117" i="71"/>
  <c r="A116" i="71"/>
  <c r="A1" i="88"/>
  <c r="A1" i="89"/>
  <c r="V69" i="89"/>
  <c r="V43" i="89"/>
  <c r="V54" i="89"/>
  <c r="A14" i="3"/>
  <c r="E2" i="3"/>
  <c r="D2" i="3"/>
  <c r="B2" i="3"/>
  <c r="E2" i="88" l="1"/>
  <c r="E2" i="89"/>
  <c r="A122" i="71"/>
  <c r="A121" i="71"/>
  <c r="A92" i="71"/>
  <c r="A91" i="71"/>
  <c r="A82" i="71"/>
  <c r="A81" i="71"/>
  <c r="A88" i="71"/>
  <c r="A87" i="71"/>
  <c r="A96" i="71"/>
  <c r="A95" i="71"/>
  <c r="A78" i="71"/>
  <c r="A77" i="71"/>
  <c r="A72" i="71"/>
  <c r="A71" i="71"/>
  <c r="A54" i="71"/>
  <c r="A53" i="71"/>
  <c r="A58" i="71"/>
  <c r="A57" i="71"/>
  <c r="A46" i="71"/>
  <c r="A45" i="71"/>
  <c r="A44" i="71"/>
  <c r="A43" i="71"/>
  <c r="A22" i="71"/>
  <c r="A21" i="71"/>
  <c r="A26" i="71"/>
  <c r="A25" i="71"/>
  <c r="A30" i="71"/>
  <c r="A28" i="71"/>
  <c r="D6" i="64"/>
  <c r="A118" i="71"/>
  <c r="A20" i="64"/>
  <c r="A37" i="71"/>
  <c r="A63" i="71"/>
  <c r="A61" i="71"/>
  <c r="A125" i="71"/>
  <c r="A127" i="71"/>
  <c r="A110" i="71"/>
  <c r="A108" i="71"/>
  <c r="A107" i="71"/>
  <c r="A104" i="71"/>
  <c r="A34" i="71"/>
  <c r="A32" i="71"/>
  <c r="A102" i="71"/>
  <c r="A31" i="71"/>
  <c r="A101" i="71"/>
  <c r="A17" i="71"/>
  <c r="A18" i="71"/>
  <c r="A29" i="71"/>
  <c r="A27" i="71"/>
  <c r="A19" i="71"/>
  <c r="A65" i="71"/>
  <c r="A66" i="71"/>
  <c r="A70" i="71"/>
  <c r="A69" i="71"/>
  <c r="A98" i="71"/>
  <c r="A97" i="71"/>
  <c r="A85" i="71"/>
  <c r="A89" i="71"/>
  <c r="A99" i="71"/>
  <c r="A84" i="71"/>
  <c r="A93" i="71"/>
  <c r="A83" i="71"/>
  <c r="A74" i="71"/>
  <c r="A73" i="71"/>
  <c r="A75" i="71"/>
  <c r="A79" i="71"/>
  <c r="A48" i="71"/>
  <c r="A47" i="71"/>
  <c r="A42" i="71"/>
  <c r="A41" i="71"/>
  <c r="A7" i="71"/>
  <c r="A5" i="71"/>
  <c r="A3" i="71"/>
  <c r="A9" i="71"/>
  <c r="A11" i="71"/>
  <c r="A60" i="71"/>
  <c r="A59" i="71"/>
  <c r="A51" i="71"/>
  <c r="A55" i="71"/>
  <c r="A13" i="71"/>
  <c r="A120" i="71"/>
  <c r="A113" i="71"/>
  <c r="A114" i="71"/>
  <c r="A119" i="71"/>
  <c r="A124" i="71"/>
  <c r="A123" i="71"/>
  <c r="A15" i="71"/>
  <c r="A50" i="71"/>
  <c r="A49" i="71"/>
  <c r="A20" i="71"/>
  <c r="A23" i="71"/>
  <c r="A67" i="71"/>
  <c r="A68" i="71"/>
  <c r="A86" i="71"/>
  <c r="A90" i="71"/>
  <c r="A94" i="71"/>
  <c r="A76" i="71"/>
  <c r="A80" i="71"/>
  <c r="A10" i="71"/>
  <c r="A12" i="71"/>
  <c r="A52" i="71"/>
  <c r="A56" i="71"/>
  <c r="A115" i="71"/>
  <c r="A40" i="71"/>
  <c r="A38" i="71"/>
  <c r="A64" i="71"/>
  <c r="A62" i="71"/>
  <c r="A126" i="71"/>
  <c r="A128" i="71"/>
  <c r="A111" i="71"/>
  <c r="A109" i="71"/>
  <c r="A112" i="71"/>
  <c r="A105" i="71"/>
  <c r="A35" i="71"/>
  <c r="A33" i="71"/>
  <c r="A103" i="71"/>
  <c r="A36" i="71"/>
  <c r="A106" i="71"/>
  <c r="A24" i="71"/>
  <c r="A100" i="71"/>
  <c r="A8" i="71"/>
  <c r="A6" i="71"/>
  <c r="A4" i="71"/>
  <c r="A14" i="71"/>
  <c r="A16" i="71"/>
  <c r="F16" i="2"/>
  <c r="D3" i="64"/>
  <c r="A39" i="71"/>
  <c r="A1" i="71" a="1"/>
  <c r="I69" i="74"/>
  <c r="H69" i="74"/>
  <c r="G69" i="74"/>
  <c r="F69" i="74"/>
  <c r="E69" i="74"/>
  <c r="D69" i="74"/>
  <c r="C69" i="74"/>
  <c r="B69" i="74"/>
  <c r="A69" i="74"/>
  <c r="B63" i="74"/>
  <c r="C63" i="74"/>
  <c r="D63" i="74"/>
  <c r="E63" i="74"/>
  <c r="F63" i="74"/>
  <c r="G63" i="74"/>
  <c r="H63" i="74"/>
  <c r="I63" i="74"/>
  <c r="J63" i="74"/>
  <c r="A63" i="74"/>
  <c r="A62" i="74"/>
  <c r="U88" i="91"/>
  <c r="U89" i="91"/>
  <c r="U87" i="91"/>
  <c r="P55" i="91"/>
  <c r="H8" i="2" l="1"/>
  <c r="B2" i="64"/>
  <c r="F41" i="90"/>
  <c r="Q88" i="91"/>
  <c r="Q89" i="91"/>
  <c r="Q87" i="91"/>
  <c r="U71" i="91"/>
  <c r="U70" i="91"/>
  <c r="U69" i="91"/>
  <c r="U53" i="91"/>
  <c r="U52" i="91"/>
  <c r="U51" i="91"/>
  <c r="P92" i="91"/>
  <c r="P91" i="91"/>
  <c r="P90" i="91"/>
  <c r="P74" i="91"/>
  <c r="P73" i="91"/>
  <c r="P72" i="91"/>
  <c r="P56" i="91"/>
  <c r="C46" i="60" a="1"/>
  <c r="A33" i="74" a="1"/>
  <c r="C4" i="60" a="1"/>
  <c r="O5" i="3" l="1"/>
  <c r="K5" i="3"/>
  <c r="G5" i="3"/>
  <c r="C5" i="3"/>
  <c r="U143" i="91"/>
  <c r="Q143" i="91"/>
  <c r="U161" i="91"/>
  <c r="Q161" i="91"/>
  <c r="U179" i="91"/>
  <c r="Q179" i="91"/>
  <c r="U160" i="91"/>
  <c r="Q160" i="91"/>
  <c r="U159" i="91"/>
  <c r="Q159" i="91"/>
  <c r="U178" i="91"/>
  <c r="Q178" i="91"/>
  <c r="U142" i="91"/>
  <c r="Q142" i="91"/>
  <c r="U177" i="91"/>
  <c r="Q177" i="91"/>
  <c r="U141" i="91"/>
  <c r="Q141" i="91"/>
  <c r="V125" i="91"/>
  <c r="R125" i="91"/>
  <c r="V124" i="91"/>
  <c r="R124" i="91"/>
  <c r="V123" i="91"/>
  <c r="R123" i="91"/>
  <c r="V107" i="91"/>
  <c r="R107" i="91"/>
  <c r="V106" i="91"/>
  <c r="R106" i="91"/>
  <c r="V105" i="91"/>
  <c r="R105" i="91"/>
  <c r="E37" i="2"/>
  <c r="F37" i="2"/>
  <c r="G37" i="2"/>
  <c r="D37" i="2"/>
  <c r="H30" i="56"/>
  <c r="D22" i="2" l="1"/>
  <c r="D23" i="2"/>
  <c r="D24" i="2"/>
  <c r="E22" i="2" l="1"/>
  <c r="F22" i="2"/>
  <c r="G22" i="2"/>
  <c r="E23" i="2"/>
  <c r="F23" i="2"/>
  <c r="G23" i="2"/>
  <c r="E24" i="2"/>
  <c r="F24" i="2"/>
  <c r="G24" i="2"/>
  <c r="E43" i="2" l="1"/>
  <c r="D43" i="2"/>
  <c r="V31" i="64" a="1"/>
  <c r="A3" i="16" l="1"/>
  <c r="N5" i="3"/>
  <c r="J5" i="3"/>
  <c r="F5" i="3"/>
  <c r="B5" i="3"/>
  <c r="H28" i="56" l="1"/>
  <c r="H27" i="56" l="1"/>
  <c r="H31" i="56"/>
  <c r="H32" i="56"/>
  <c r="H29" i="56"/>
  <c r="A3" i="91"/>
  <c r="A255" i="91"/>
  <c r="A4" i="91"/>
  <c r="A39" i="91"/>
  <c r="O39" i="91"/>
  <c r="T39" i="91"/>
  <c r="A183" i="91"/>
  <c r="A201" i="91"/>
  <c r="A276" i="91"/>
  <c r="A202" i="91"/>
  <c r="A277" i="91"/>
  <c r="A203" i="91"/>
  <c r="A278" i="91"/>
  <c r="A219" i="91"/>
  <c r="A291" i="91"/>
  <c r="A220" i="91"/>
  <c r="A75" i="91"/>
  <c r="O75" i="91"/>
  <c r="T75" i="91"/>
  <c r="A21" i="91"/>
  <c r="A129" i="91"/>
  <c r="A221" i="91"/>
  <c r="A292" i="91"/>
  <c r="A256" i="91"/>
  <c r="A237" i="91"/>
  <c r="A42" i="91"/>
  <c r="O42" i="91"/>
  <c r="P42" i="91"/>
  <c r="S42" i="91"/>
  <c r="T42" i="91"/>
  <c r="A6" i="91"/>
  <c r="A78" i="91"/>
  <c r="O78" i="91"/>
  <c r="P78" i="91"/>
  <c r="S78" i="91"/>
  <c r="T78" i="91"/>
  <c r="A165" i="91"/>
  <c r="Q165" i="91"/>
  <c r="U165" i="91"/>
  <c r="A238" i="91"/>
  <c r="A22" i="91"/>
  <c r="A239" i="91"/>
  <c r="A294" i="91"/>
  <c r="A204" i="91"/>
  <c r="A288" i="91"/>
  <c r="A205" i="91"/>
  <c r="A289" i="91"/>
  <c r="A206" i="91"/>
  <c r="A290" i="91"/>
  <c r="A184" i="91"/>
  <c r="A257" i="91"/>
  <c r="A222" i="91"/>
  <c r="A223" i="91"/>
  <c r="A132" i="91"/>
  <c r="A185" i="91"/>
  <c r="A293" i="91"/>
  <c r="A295" i="91"/>
  <c r="A186" i="91"/>
  <c r="A258" i="91"/>
  <c r="A224" i="91"/>
  <c r="A23" i="91"/>
  <c r="A57" i="91"/>
  <c r="O57" i="91"/>
  <c r="T57" i="91"/>
  <c r="A168" i="91"/>
  <c r="Q168" i="91"/>
  <c r="U168" i="91"/>
  <c r="A9" i="91"/>
  <c r="A187" i="91"/>
  <c r="A240" i="91"/>
  <c r="A5" i="91"/>
  <c r="A273" i="91"/>
  <c r="A93" i="91"/>
  <c r="A274" i="91"/>
  <c r="A94" i="91"/>
  <c r="A275" i="91"/>
  <c r="A259" i="91"/>
  <c r="A307" i="91"/>
  <c r="A58" i="91"/>
  <c r="O58" i="91"/>
  <c r="T58" i="91"/>
  <c r="A241" i="91"/>
  <c r="A260" i="91"/>
  <c r="A45" i="91"/>
  <c r="A40" i="91"/>
  <c r="O40" i="91"/>
  <c r="T40" i="91"/>
  <c r="A242" i="91"/>
  <c r="A308" i="91"/>
  <c r="A111" i="91"/>
  <c r="A59" i="91"/>
  <c r="O59" i="91"/>
  <c r="T59" i="91"/>
  <c r="A261" i="91"/>
  <c r="A112" i="91"/>
  <c r="A81" i="91"/>
  <c r="A225" i="91"/>
  <c r="A48" i="91"/>
  <c r="O48" i="91"/>
  <c r="P48" i="91"/>
  <c r="S48" i="91"/>
  <c r="T48" i="91"/>
  <c r="A18" i="91"/>
  <c r="A207" i="91"/>
  <c r="A285" i="91"/>
  <c r="A208" i="91"/>
  <c r="A286" i="91"/>
  <c r="A209" i="91"/>
  <c r="A287" i="91"/>
  <c r="A113" i="91"/>
  <c r="A76" i="91"/>
  <c r="O76" i="91"/>
  <c r="T76" i="91"/>
  <c r="A135" i="91"/>
  <c r="A12" i="91"/>
  <c r="A90" i="91"/>
  <c r="O90" i="91"/>
  <c r="S90" i="91"/>
  <c r="T90" i="91"/>
  <c r="A15" i="91"/>
  <c r="A309" i="91"/>
  <c r="A95" i="91"/>
  <c r="A312" i="91"/>
  <c r="A188" i="91"/>
  <c r="A171" i="91"/>
  <c r="Q171" i="91"/>
  <c r="U171" i="91"/>
  <c r="A130" i="91"/>
  <c r="A84" i="91"/>
  <c r="O84" i="91"/>
  <c r="P84" i="91"/>
  <c r="S84" i="91"/>
  <c r="T84" i="91"/>
  <c r="A166" i="91"/>
  <c r="Q166" i="91"/>
  <c r="U166" i="91"/>
  <c r="A51" i="91"/>
  <c r="A313" i="91"/>
  <c r="A210" i="91"/>
  <c r="A279" i="91"/>
  <c r="A211" i="91"/>
  <c r="A280" i="91"/>
  <c r="A212" i="91"/>
  <c r="A281" i="91"/>
  <c r="A213" i="91"/>
  <c r="A214" i="91"/>
  <c r="A138" i="91"/>
  <c r="A87" i="91"/>
  <c r="A310" i="91"/>
  <c r="A243" i="91"/>
  <c r="A311" i="91"/>
  <c r="A296" i="91"/>
  <c r="A215" i="91"/>
  <c r="A141" i="91"/>
  <c r="A314" i="91"/>
  <c r="A99" i="91"/>
  <c r="A54" i="91"/>
  <c r="T54" i="91"/>
  <c r="A180" i="91"/>
  <c r="Q180" i="91"/>
  <c r="U180" i="91"/>
  <c r="A189" i="91"/>
  <c r="A60" i="91"/>
  <c r="O60" i="91"/>
  <c r="P60" i="91"/>
  <c r="S60" i="91"/>
  <c r="T60" i="91"/>
  <c r="A262" i="91"/>
  <c r="A216" i="91"/>
  <c r="A282" i="91"/>
  <c r="A217" i="91"/>
  <c r="A283" i="91"/>
  <c r="A218" i="91"/>
  <c r="A284" i="91"/>
  <c r="A177" i="91"/>
  <c r="A315" i="91"/>
  <c r="A96" i="91"/>
  <c r="A226" i="91"/>
  <c r="A144" i="91"/>
  <c r="A43" i="91"/>
  <c r="O43" i="91"/>
  <c r="P43" i="91"/>
  <c r="S43" i="91"/>
  <c r="T43" i="91"/>
  <c r="A174" i="91"/>
  <c r="Q174" i="91"/>
  <c r="U174" i="91"/>
  <c r="A7" i="91"/>
  <c r="A79" i="91"/>
  <c r="O79" i="91"/>
  <c r="P79" i="91"/>
  <c r="S79" i="91"/>
  <c r="T79" i="91"/>
  <c r="A316" i="91"/>
  <c r="A97" i="91"/>
  <c r="A133" i="91"/>
  <c r="A24" i="91"/>
  <c r="A25" i="91"/>
  <c r="A169" i="91"/>
  <c r="Q169" i="91"/>
  <c r="U169" i="91"/>
  <c r="A61" i="91"/>
  <c r="O61" i="91"/>
  <c r="P61" i="91"/>
  <c r="S61" i="91"/>
  <c r="T61" i="91"/>
  <c r="A62" i="91"/>
  <c r="O62" i="91"/>
  <c r="P62" i="91"/>
  <c r="S62" i="91"/>
  <c r="T62" i="91"/>
  <c r="A317" i="91"/>
  <c r="A297" i="91"/>
  <c r="A244" i="91"/>
  <c r="A190" i="91"/>
  <c r="A26" i="91"/>
  <c r="A263" i="91"/>
  <c r="A46" i="91"/>
  <c r="A10" i="91"/>
  <c r="A298" i="91"/>
  <c r="A82" i="91"/>
  <c r="A136" i="91"/>
  <c r="A318" i="91"/>
  <c r="A98" i="91"/>
  <c r="A227" i="91"/>
  <c r="A172" i="91"/>
  <c r="Q172" i="91"/>
  <c r="U172" i="91"/>
  <c r="A100" i="91"/>
  <c r="A299" i="91"/>
  <c r="A63" i="91"/>
  <c r="A228" i="91"/>
  <c r="A64" i="91"/>
  <c r="A65" i="91"/>
  <c r="A319" i="91"/>
  <c r="A27" i="91"/>
  <c r="A191" i="91"/>
  <c r="A264" i="91"/>
  <c r="A229" i="91"/>
  <c r="A325" i="91"/>
  <c r="A28" i="91"/>
  <c r="A29" i="91"/>
  <c r="A230" i="91"/>
  <c r="A49" i="91"/>
  <c r="O49" i="91"/>
  <c r="P49" i="91"/>
  <c r="S49" i="91"/>
  <c r="T49" i="91"/>
  <c r="A13" i="91"/>
  <c r="A85" i="91"/>
  <c r="O85" i="91"/>
  <c r="P85" i="91"/>
  <c r="S85" i="91"/>
  <c r="T85" i="91"/>
  <c r="A245" i="91"/>
  <c r="A300" i="91"/>
  <c r="A114" i="91"/>
  <c r="A139" i="91"/>
  <c r="A175" i="91"/>
  <c r="Q175" i="91"/>
  <c r="U175" i="91"/>
  <c r="A320" i="91"/>
  <c r="A66" i="91"/>
  <c r="O66" i="91"/>
  <c r="P66" i="91"/>
  <c r="S66" i="91"/>
  <c r="T66" i="91"/>
  <c r="A301" i="91"/>
  <c r="A246" i="91"/>
  <c r="A67" i="91"/>
  <c r="O67" i="91"/>
  <c r="P67" i="91"/>
  <c r="S67" i="91"/>
  <c r="T67" i="91"/>
  <c r="A30" i="91"/>
  <c r="A68" i="91"/>
  <c r="O68" i="91"/>
  <c r="P68" i="91"/>
  <c r="S68" i="91"/>
  <c r="T68" i="91"/>
  <c r="A192" i="91"/>
  <c r="A265" i="91"/>
  <c r="A321" i="91"/>
  <c r="A247" i="91"/>
  <c r="A326" i="91"/>
  <c r="A31" i="91"/>
  <c r="A16" i="91"/>
  <c r="A32" i="91"/>
  <c r="A302" i="91"/>
  <c r="A52" i="91"/>
  <c r="A231" i="91"/>
  <c r="A88" i="91"/>
  <c r="A115" i="91"/>
  <c r="A142" i="91"/>
  <c r="A69" i="91"/>
  <c r="A70" i="91"/>
  <c r="A248" i="91"/>
  <c r="A178" i="91"/>
  <c r="A232" i="91"/>
  <c r="A233" i="91"/>
  <c r="A322" i="91"/>
  <c r="A33" i="91"/>
  <c r="A34" i="91"/>
  <c r="A303" i="91"/>
  <c r="A323" i="91"/>
  <c r="A304" i="91"/>
  <c r="A35" i="91"/>
  <c r="A71" i="91"/>
  <c r="A266" i="91"/>
  <c r="A249" i="91"/>
  <c r="A193" i="91"/>
  <c r="A250" i="91"/>
  <c r="A91" i="91"/>
  <c r="O91" i="91"/>
  <c r="S91" i="91"/>
  <c r="T91" i="91"/>
  <c r="A19" i="91"/>
  <c r="A55" i="91"/>
  <c r="S55" i="91"/>
  <c r="T55" i="91"/>
  <c r="A181" i="91"/>
  <c r="Q181" i="91"/>
  <c r="U181" i="91"/>
  <c r="A36" i="91"/>
  <c r="A116" i="91"/>
  <c r="A145" i="91"/>
  <c r="A305" i="91"/>
  <c r="A37" i="91"/>
  <c r="A72" i="91"/>
  <c r="O72" i="91"/>
  <c r="S72" i="91"/>
  <c r="T72" i="91"/>
  <c r="A38" i="91"/>
  <c r="A73" i="91"/>
  <c r="O73" i="91"/>
  <c r="S73" i="91"/>
  <c r="T73" i="91"/>
  <c r="A74" i="91"/>
  <c r="O74" i="91"/>
  <c r="S74" i="91"/>
  <c r="T74" i="91"/>
  <c r="A251" i="91"/>
  <c r="A41" i="91"/>
  <c r="O41" i="91"/>
  <c r="T41" i="91"/>
  <c r="A194" i="91"/>
  <c r="A77" i="91"/>
  <c r="O77" i="91"/>
  <c r="T77" i="91"/>
  <c r="A267" i="91"/>
  <c r="A195" i="91"/>
  <c r="A234" i="91"/>
  <c r="A147" i="91"/>
  <c r="A148" i="91"/>
  <c r="A235" i="91"/>
  <c r="A149" i="91"/>
  <c r="A8" i="91"/>
  <c r="A44" i="91"/>
  <c r="O44" i="91"/>
  <c r="P44" i="91"/>
  <c r="S44" i="91"/>
  <c r="T44" i="91"/>
  <c r="A196" i="91"/>
  <c r="A324" i="91"/>
  <c r="A268" i="91"/>
  <c r="A150" i="91"/>
  <c r="A306" i="91"/>
  <c r="A47" i="91"/>
  <c r="A151" i="91"/>
  <c r="A236" i="91"/>
  <c r="A152" i="91"/>
  <c r="A197" i="91"/>
  <c r="A80" i="91"/>
  <c r="O80" i="91"/>
  <c r="P80" i="91"/>
  <c r="S80" i="91"/>
  <c r="T80" i="91"/>
  <c r="A270" i="91"/>
  <c r="A198" i="91"/>
  <c r="A199" i="91"/>
  <c r="A269" i="91"/>
  <c r="A11" i="91"/>
  <c r="A83" i="91"/>
  <c r="A252" i="91"/>
  <c r="A253" i="91"/>
  <c r="A153" i="91"/>
  <c r="A134" i="91"/>
  <c r="A170" i="91"/>
  <c r="Q170" i="91"/>
  <c r="U170" i="91"/>
  <c r="A154" i="91"/>
  <c r="A117" i="91"/>
  <c r="A155" i="91"/>
  <c r="A50" i="91"/>
  <c r="P50" i="91"/>
  <c r="S50" i="91"/>
  <c r="T50" i="91"/>
  <c r="A254" i="91"/>
  <c r="A92" i="91"/>
  <c r="O92" i="91"/>
  <c r="S92" i="91"/>
  <c r="T92" i="91"/>
  <c r="A271" i="91"/>
  <c r="A14" i="91"/>
  <c r="A272" i="91"/>
  <c r="A86" i="91"/>
  <c r="P86" i="91"/>
  <c r="S86" i="91"/>
  <c r="T86" i="91"/>
  <c r="A118" i="91"/>
  <c r="A156" i="91"/>
  <c r="A131" i="91"/>
  <c r="A20" i="91"/>
  <c r="A157" i="91"/>
  <c r="A119" i="91"/>
  <c r="A158" i="91"/>
  <c r="A101" i="91"/>
  <c r="A17" i="91"/>
  <c r="A102" i="91"/>
  <c r="A103" i="91"/>
  <c r="A167" i="91"/>
  <c r="Q167" i="91"/>
  <c r="U167" i="91"/>
  <c r="A120" i="91"/>
  <c r="A121" i="91"/>
  <c r="A89" i="91"/>
  <c r="A122" i="91"/>
  <c r="A159" i="91"/>
  <c r="A104" i="91"/>
  <c r="A160" i="91"/>
  <c r="A53" i="91"/>
  <c r="A105" i="91"/>
  <c r="A179" i="91"/>
  <c r="A106" i="91"/>
  <c r="A200" i="91"/>
  <c r="A107" i="91"/>
  <c r="A161" i="91"/>
  <c r="A123" i="91"/>
  <c r="A143" i="91"/>
  <c r="A124" i="91"/>
  <c r="A56" i="91"/>
  <c r="S56" i="91"/>
  <c r="T56" i="91"/>
  <c r="A125" i="91"/>
  <c r="A137" i="91"/>
  <c r="A173" i="91"/>
  <c r="Q173" i="91"/>
  <c r="U173" i="91"/>
  <c r="A182" i="91"/>
  <c r="Q182" i="91"/>
  <c r="U182" i="91"/>
  <c r="A108" i="91"/>
  <c r="A109" i="91"/>
  <c r="A110" i="91"/>
  <c r="A162" i="91"/>
  <c r="A163" i="91"/>
  <c r="A164" i="91"/>
  <c r="A126" i="91"/>
  <c r="A146" i="91"/>
  <c r="A127" i="91"/>
  <c r="A128" i="91"/>
  <c r="A140" i="91"/>
  <c r="A176" i="91"/>
  <c r="Q176" i="91"/>
  <c r="U176" i="91"/>
  <c r="D28" i="89" l="1" a="1"/>
  <c r="D27" i="89" a="1"/>
  <c r="C23" i="88" a="1"/>
  <c r="B2" i="89" a="1"/>
  <c r="B2" i="88" a="1"/>
  <c r="V61" i="89"/>
  <c r="V72" i="89"/>
  <c r="B59" i="89"/>
  <c r="B41" i="89"/>
  <c r="B31" i="89"/>
  <c r="C13" i="89"/>
  <c r="Q12" i="89"/>
  <c r="L12" i="89"/>
  <c r="G12" i="89"/>
  <c r="C12" i="89"/>
  <c r="C11" i="89"/>
  <c r="C10" i="89"/>
  <c r="C7" i="89"/>
  <c r="F17" i="60"/>
  <c r="E17" i="60"/>
  <c r="D17" i="60"/>
  <c r="C17" i="60"/>
  <c r="N44" i="64"/>
  <c r="J44" i="64"/>
  <c r="F44" i="64"/>
  <c r="B44" i="64"/>
  <c r="Q18" i="3"/>
  <c r="Q17" i="3"/>
  <c r="Q16" i="3"/>
  <c r="Q15" i="3"/>
  <c r="M18" i="3"/>
  <c r="M17" i="3"/>
  <c r="M16" i="3"/>
  <c r="M15" i="3"/>
  <c r="I18" i="3"/>
  <c r="I17" i="3"/>
  <c r="I16" i="3"/>
  <c r="I15" i="3"/>
  <c r="E18" i="3"/>
  <c r="E17" i="3"/>
  <c r="E16" i="3"/>
  <c r="E15" i="3"/>
  <c r="U18" i="3"/>
  <c r="B1" i="90" l="1"/>
  <c r="F1" i="90"/>
  <c r="D2" i="90"/>
  <c r="F2" i="90"/>
  <c r="H2" i="90"/>
  <c r="J2" i="90"/>
  <c r="D5" i="90"/>
  <c r="F5" i="90"/>
  <c r="H5" i="90"/>
  <c r="J5" i="90"/>
  <c r="D6" i="90"/>
  <c r="F6" i="90"/>
  <c r="H6" i="90"/>
  <c r="J6" i="90"/>
  <c r="D7" i="90"/>
  <c r="D8" i="90"/>
  <c r="D9" i="90"/>
  <c r="D10" i="90"/>
  <c r="D12" i="90"/>
  <c r="B13" i="90"/>
  <c r="D14" i="90"/>
  <c r="F14" i="90"/>
  <c r="H14" i="90"/>
  <c r="J14" i="90"/>
  <c r="L25" i="90"/>
  <c r="L28" i="90"/>
  <c r="D29" i="90"/>
  <c r="F29" i="90"/>
  <c r="H29" i="90"/>
  <c r="J29" i="90"/>
  <c r="L39" i="90"/>
  <c r="L42" i="90"/>
  <c r="D44" i="90"/>
  <c r="F44" i="90"/>
  <c r="H44" i="90"/>
  <c r="J44" i="90"/>
  <c r="D56" i="90"/>
  <c r="F56" i="90"/>
  <c r="H56" i="90"/>
  <c r="J56" i="90"/>
  <c r="D72" i="90"/>
  <c r="F72" i="90"/>
  <c r="H72" i="90"/>
  <c r="J72" i="90"/>
  <c r="D88" i="90"/>
  <c r="F88" i="90"/>
  <c r="H88" i="90"/>
  <c r="J88" i="90"/>
  <c r="D104" i="90"/>
  <c r="F104" i="90"/>
  <c r="H104" i="90"/>
  <c r="J104" i="90"/>
  <c r="N30" i="3"/>
  <c r="N19" i="3"/>
  <c r="J30" i="3"/>
  <c r="J19" i="3"/>
  <c r="F30" i="3"/>
  <c r="F19" i="3"/>
  <c r="B19" i="3"/>
  <c r="U17" i="3"/>
  <c r="U16" i="3"/>
  <c r="U15" i="3"/>
  <c r="C49" i="60"/>
  <c r="C19" i="60" l="1"/>
  <c r="D3" i="90" l="1"/>
  <c r="C8" i="89"/>
  <c r="C21" i="60"/>
  <c r="C22" i="60" s="1"/>
  <c r="C31" i="61"/>
  <c r="B3" i="89"/>
  <c r="B4" i="89"/>
  <c r="B5" i="89"/>
  <c r="B6" i="89"/>
  <c r="G7" i="89"/>
  <c r="L7" i="89"/>
  <c r="Q7" i="89"/>
  <c r="A9" i="89"/>
  <c r="G10" i="89"/>
  <c r="L10" i="89"/>
  <c r="Q10" i="89"/>
  <c r="G11" i="89"/>
  <c r="L11" i="89"/>
  <c r="Q11" i="89"/>
  <c r="G13" i="89"/>
  <c r="L13" i="89"/>
  <c r="Q13" i="89"/>
  <c r="A14" i="89"/>
  <c r="V14" i="89" s="1"/>
  <c r="D18" i="89"/>
  <c r="D20" i="89"/>
  <c r="D21" i="89"/>
  <c r="D22" i="89"/>
  <c r="D23" i="89"/>
  <c r="D24" i="89"/>
  <c r="D25" i="89"/>
  <c r="D26" i="89"/>
  <c r="G31" i="89"/>
  <c r="L31" i="89"/>
  <c r="Q31" i="89"/>
  <c r="G41" i="89"/>
  <c r="L41" i="89"/>
  <c r="Q41" i="89"/>
  <c r="V56" i="89"/>
  <c r="V45" i="89"/>
  <c r="V49" i="89"/>
  <c r="G59" i="89"/>
  <c r="L59" i="89"/>
  <c r="Q59" i="89"/>
  <c r="V74" i="89"/>
  <c r="V75" i="89"/>
  <c r="V68" i="89"/>
  <c r="B3" i="88"/>
  <c r="C18" i="88"/>
  <c r="E14" i="2" s="1"/>
  <c r="C19" i="88"/>
  <c r="C20" i="88"/>
  <c r="C21" i="88"/>
  <c r="R48" i="88"/>
  <c r="R50" i="88"/>
  <c r="R37" i="88"/>
  <c r="B4" i="88"/>
  <c r="B5" i="88"/>
  <c r="B6" i="88"/>
  <c r="C7" i="88"/>
  <c r="F7" i="88"/>
  <c r="J7" i="88"/>
  <c r="N7" i="88"/>
  <c r="A9" i="88"/>
  <c r="C10" i="88"/>
  <c r="F10" i="88"/>
  <c r="J10" i="88"/>
  <c r="N10" i="88"/>
  <c r="C11" i="88"/>
  <c r="F11" i="88"/>
  <c r="J11" i="88"/>
  <c r="N11" i="88"/>
  <c r="C12" i="88"/>
  <c r="F12" i="88"/>
  <c r="J12" i="88"/>
  <c r="N12" i="88"/>
  <c r="C13" i="88"/>
  <c r="F13" i="88"/>
  <c r="J13" i="88"/>
  <c r="N13" i="88"/>
  <c r="A14" i="88"/>
  <c r="R14" i="88" s="1"/>
  <c r="C22" i="88"/>
  <c r="B25" i="88"/>
  <c r="F25" i="88"/>
  <c r="J25" i="88"/>
  <c r="N25" i="88"/>
  <c r="B35" i="88"/>
  <c r="F35" i="88"/>
  <c r="J35" i="88"/>
  <c r="N35" i="88"/>
  <c r="R51" i="88"/>
  <c r="D39" i="88"/>
  <c r="H39" i="88"/>
  <c r="L39" i="88"/>
  <c r="P39" i="88"/>
  <c r="R40" i="88"/>
  <c r="R41" i="88"/>
  <c r="R42" i="88"/>
  <c r="D43" i="88"/>
  <c r="H43" i="88"/>
  <c r="L43" i="88"/>
  <c r="P43" i="88"/>
  <c r="R44" i="88"/>
  <c r="R45" i="88"/>
  <c r="R46" i="88"/>
  <c r="A13" i="72"/>
  <c r="Q52" i="89" l="1" a="1"/>
  <c r="L70" i="89" a="1"/>
  <c r="L52" i="89" a="1"/>
  <c r="V63" i="89"/>
  <c r="R20" i="64"/>
  <c r="C23" i="60" l="1"/>
  <c r="D23" i="60"/>
  <c r="E23" i="60"/>
  <c r="F23" i="60"/>
  <c r="Q16" i="89" s="1"/>
  <c r="H24" i="72"/>
  <c r="F24" i="72"/>
  <c r="D24" i="72"/>
  <c r="B24" i="72"/>
  <c r="C22" i="72"/>
  <c r="C21" i="72"/>
  <c r="C20" i="72"/>
  <c r="C19" i="72"/>
  <c r="C18" i="72"/>
  <c r="C17" i="72"/>
  <c r="C14" i="72"/>
  <c r="H12" i="72"/>
  <c r="F12" i="72"/>
  <c r="D12" i="72"/>
  <c r="B12" i="72"/>
  <c r="H11" i="72"/>
  <c r="F11" i="72"/>
  <c r="D11" i="72"/>
  <c r="B11" i="72"/>
  <c r="H10" i="72"/>
  <c r="F10" i="72"/>
  <c r="D10" i="72"/>
  <c r="B10" i="72"/>
  <c r="A9" i="72"/>
  <c r="H7" i="72"/>
  <c r="F7" i="72"/>
  <c r="D7" i="72"/>
  <c r="B7" i="72"/>
  <c r="C6" i="72"/>
  <c r="B5" i="72"/>
  <c r="C4" i="72"/>
  <c r="B3" i="72"/>
  <c r="C2" i="72"/>
  <c r="C1" i="72"/>
  <c r="A1" i="72"/>
  <c r="A14" i="16"/>
  <c r="A13" i="16"/>
  <c r="A12" i="16"/>
  <c r="A11" i="16"/>
  <c r="A10" i="16"/>
  <c r="A9" i="16"/>
  <c r="A8" i="16"/>
  <c r="A7" i="16"/>
  <c r="A6" i="16"/>
  <c r="A5" i="16"/>
  <c r="A4" i="16"/>
  <c r="D23" i="61" s="1" a="1"/>
  <c r="L23" i="61"/>
  <c r="C52" i="56"/>
  <c r="D19" i="89" s="1"/>
  <c r="C51" i="56"/>
  <c r="C50" i="56"/>
  <c r="D24" i="56"/>
  <c r="C51" i="60"/>
  <c r="D7" i="3" s="1"/>
  <c r="C50" i="60"/>
  <c r="C45" i="60"/>
  <c r="C44" i="60"/>
  <c r="C42" i="60"/>
  <c r="F24" i="60"/>
  <c r="E24" i="60"/>
  <c r="D24" i="60"/>
  <c r="C24" i="60"/>
  <c r="G18" i="60"/>
  <c r="B46" i="74" a="1"/>
  <c r="A46" i="74"/>
  <c r="B76" i="74" s="1"/>
  <c r="B9" i="74"/>
  <c r="D33" i="74"/>
  <c r="E17" i="2" s="1"/>
  <c r="N35" i="64"/>
  <c r="J35" i="64"/>
  <c r="F35" i="64"/>
  <c r="B35" i="64"/>
  <c r="V33" i="64"/>
  <c r="V32" i="64"/>
  <c r="N29" i="64"/>
  <c r="J29" i="64"/>
  <c r="F29" i="64"/>
  <c r="B29" i="64"/>
  <c r="N17" i="64"/>
  <c r="J17" i="64"/>
  <c r="F17" i="64"/>
  <c r="B17" i="64"/>
  <c r="N16" i="64"/>
  <c r="J16" i="64"/>
  <c r="F16" i="64"/>
  <c r="B16" i="64"/>
  <c r="N15" i="64"/>
  <c r="J15" i="64"/>
  <c r="F15" i="64"/>
  <c r="B15" i="64"/>
  <c r="N10" i="64"/>
  <c r="J10" i="64"/>
  <c r="F10" i="64"/>
  <c r="B10" i="64"/>
  <c r="B9" i="64"/>
  <c r="B8" i="64"/>
  <c r="B7" i="64"/>
  <c r="B6" i="64"/>
  <c r="B5" i="64"/>
  <c r="B4" i="64"/>
  <c r="B3" i="64"/>
  <c r="A1" i="64"/>
  <c r="I87" i="61"/>
  <c r="G87" i="61"/>
  <c r="E87" i="61"/>
  <c r="C87" i="61"/>
  <c r="I73" i="61"/>
  <c r="G73" i="61"/>
  <c r="E73" i="61"/>
  <c r="C73" i="61"/>
  <c r="I58" i="61"/>
  <c r="G58" i="61"/>
  <c r="E58" i="61"/>
  <c r="C58" i="61"/>
  <c r="I44" i="61"/>
  <c r="G44" i="61"/>
  <c r="E44" i="61"/>
  <c r="C44" i="61"/>
  <c r="I31" i="61"/>
  <c r="G31" i="61"/>
  <c r="E31" i="61"/>
  <c r="K29" i="61"/>
  <c r="K27" i="61"/>
  <c r="L25" i="61"/>
  <c r="K20" i="61"/>
  <c r="K18" i="61"/>
  <c r="C9" i="61"/>
  <c r="C8" i="61"/>
  <c r="C7" i="61"/>
  <c r="C6" i="61"/>
  <c r="I5" i="61"/>
  <c r="G5" i="61"/>
  <c r="E5" i="61"/>
  <c r="C5" i="61"/>
  <c r="I2" i="61"/>
  <c r="G2" i="61"/>
  <c r="E2" i="61"/>
  <c r="C2" i="61"/>
  <c r="E1" i="61"/>
  <c r="B1" i="61"/>
  <c r="J104" i="80"/>
  <c r="H104" i="80"/>
  <c r="F104" i="80"/>
  <c r="D104" i="80"/>
  <c r="J88" i="80"/>
  <c r="H88" i="80"/>
  <c r="F88" i="80"/>
  <c r="D88" i="80"/>
  <c r="J72" i="80"/>
  <c r="H72" i="80"/>
  <c r="F72" i="80"/>
  <c r="D72" i="80"/>
  <c r="J56" i="80"/>
  <c r="H56" i="80"/>
  <c r="F56" i="80"/>
  <c r="D56" i="80"/>
  <c r="J44" i="80"/>
  <c r="H44" i="80"/>
  <c r="F44" i="80"/>
  <c r="D44" i="80"/>
  <c r="D42" i="80"/>
  <c r="D41" i="80"/>
  <c r="M41" i="80" s="1"/>
  <c r="D40" i="80"/>
  <c r="D39" i="80"/>
  <c r="L39" i="80" s="1"/>
  <c r="J29" i="80"/>
  <c r="H29" i="80"/>
  <c r="F29" i="80"/>
  <c r="D29" i="80"/>
  <c r="D28" i="80"/>
  <c r="L28" i="80" s="1"/>
  <c r="D27" i="80"/>
  <c r="M27" i="80" s="1"/>
  <c r="D26" i="80"/>
  <c r="D25" i="80"/>
  <c r="L25" i="80" s="1"/>
  <c r="J14" i="80"/>
  <c r="H14" i="80"/>
  <c r="F14" i="80"/>
  <c r="D14" i="80"/>
  <c r="B13" i="80"/>
  <c r="D12" i="80"/>
  <c r="D10" i="80"/>
  <c r="D9" i="80"/>
  <c r="D8" i="80"/>
  <c r="D7" i="80"/>
  <c r="J6" i="80"/>
  <c r="H6" i="80"/>
  <c r="F6" i="80"/>
  <c r="D6" i="80"/>
  <c r="J5" i="80"/>
  <c r="H5" i="80"/>
  <c r="F5" i="80"/>
  <c r="D5" i="80"/>
  <c r="J2" i="80"/>
  <c r="H2" i="80"/>
  <c r="F2" i="80"/>
  <c r="D2" i="80"/>
  <c r="F1" i="80"/>
  <c r="B1" i="80"/>
  <c r="J104" i="81"/>
  <c r="H104" i="81"/>
  <c r="F104" i="81"/>
  <c r="D104" i="81"/>
  <c r="J88" i="81"/>
  <c r="H88" i="81"/>
  <c r="F88" i="81"/>
  <c r="D88" i="81"/>
  <c r="J72" i="81"/>
  <c r="H72" i="81"/>
  <c r="F72" i="81"/>
  <c r="D72" i="81"/>
  <c r="J56" i="81"/>
  <c r="H56" i="81"/>
  <c r="F56" i="81"/>
  <c r="D56" i="81"/>
  <c r="J44" i="81"/>
  <c r="H44" i="81"/>
  <c r="F44" i="81"/>
  <c r="D44" i="81"/>
  <c r="D42" i="81"/>
  <c r="D41" i="81"/>
  <c r="M41" i="81" s="1"/>
  <c r="D40" i="81"/>
  <c r="D39" i="81"/>
  <c r="L39" i="81" s="1"/>
  <c r="J29" i="81"/>
  <c r="H29" i="81"/>
  <c r="F29" i="81"/>
  <c r="D29" i="81"/>
  <c r="D28" i="81"/>
  <c r="L28" i="81" s="1"/>
  <c r="D27" i="81"/>
  <c r="M27" i="81" s="1"/>
  <c r="D26" i="81"/>
  <c r="D25" i="81"/>
  <c r="L25" i="81" s="1"/>
  <c r="J14" i="81"/>
  <c r="H14" i="81"/>
  <c r="F14" i="81"/>
  <c r="D14" i="81"/>
  <c r="B13" i="81"/>
  <c r="D12" i="81"/>
  <c r="D10" i="81"/>
  <c r="D9" i="81"/>
  <c r="D8" i="81"/>
  <c r="D7" i="81"/>
  <c r="J6" i="81"/>
  <c r="H6" i="81"/>
  <c r="F6" i="81"/>
  <c r="D6" i="81"/>
  <c r="J5" i="81"/>
  <c r="H5" i="81"/>
  <c r="F5" i="81"/>
  <c r="D5" i="81"/>
  <c r="J2" i="81"/>
  <c r="H2" i="81"/>
  <c r="F2" i="81"/>
  <c r="D2" i="81"/>
  <c r="F1" i="81"/>
  <c r="B1" i="81"/>
  <c r="N39" i="3"/>
  <c r="J39" i="3"/>
  <c r="F39" i="3"/>
  <c r="B39" i="3"/>
  <c r="B30" i="3"/>
  <c r="N14" i="3"/>
  <c r="J14" i="3"/>
  <c r="F14" i="3"/>
  <c r="B14" i="3"/>
  <c r="N9" i="3"/>
  <c r="J9" i="3"/>
  <c r="F9" i="3"/>
  <c r="B9" i="3"/>
  <c r="Q4" i="3"/>
  <c r="P4" i="3"/>
  <c r="O4" i="3"/>
  <c r="N4" i="3"/>
  <c r="M4" i="3"/>
  <c r="L4" i="3" a="1"/>
  <c r="K4" i="3"/>
  <c r="J4" i="3"/>
  <c r="I4" i="3"/>
  <c r="H4" i="3"/>
  <c r="G4" i="3"/>
  <c r="F4" i="3"/>
  <c r="E4" i="3"/>
  <c r="D4" i="3"/>
  <c r="C4" i="3"/>
  <c r="B4" i="3"/>
  <c r="Q3" i="3"/>
  <c r="N3" i="3"/>
  <c r="M3" i="3"/>
  <c r="J3" i="3"/>
  <c r="I3" i="3"/>
  <c r="F3" i="3"/>
  <c r="E3" i="3"/>
  <c r="B3" i="3"/>
  <c r="B1" i="3"/>
  <c r="A1" i="3"/>
  <c r="G43" i="2"/>
  <c r="F43" i="2"/>
  <c r="G15" i="89"/>
  <c r="C15" i="89"/>
  <c r="D19" i="60"/>
  <c r="H21" i="2"/>
  <c r="E9" i="2"/>
  <c r="D6" i="72" s="1"/>
  <c r="B13" i="74" a="1"/>
  <c r="Q5" i="3" l="1"/>
  <c r="F25" i="60"/>
  <c r="Q65" i="89" s="1"/>
  <c r="M5" i="3"/>
  <c r="E25" i="60"/>
  <c r="I5" i="3"/>
  <c r="D25" i="60"/>
  <c r="E5" i="3"/>
  <c r="C25" i="60"/>
  <c r="B34" i="72" s="1"/>
  <c r="C34" i="72" s="1"/>
  <c r="E7" i="3"/>
  <c r="D8" i="3"/>
  <c r="H10" i="2"/>
  <c r="B26" i="64"/>
  <c r="J46" i="88" a="1"/>
  <c r="G68" i="89" a="1"/>
  <c r="B52" i="89" a="1"/>
  <c r="D52" i="89" s="1"/>
  <c r="L16" i="89"/>
  <c r="J17" i="88"/>
  <c r="J19" i="64" s="1"/>
  <c r="F17" i="88"/>
  <c r="F19" i="64" s="1"/>
  <c r="C17" i="88"/>
  <c r="B19" i="64" s="1"/>
  <c r="B25" i="64"/>
  <c r="B24" i="64"/>
  <c r="H7" i="2" a="1"/>
  <c r="B23" i="64" a="1"/>
  <c r="H9" i="2"/>
  <c r="B22" i="64" a="1"/>
  <c r="H6" i="2" a="1"/>
  <c r="E7" i="2" s="1"/>
  <c r="C26" i="60"/>
  <c r="H11" i="2" s="1"/>
  <c r="B69" i="89" a="1"/>
  <c r="D69" i="89" s="1"/>
  <c r="B51" i="89" a="1"/>
  <c r="D51" i="89" s="1"/>
  <c r="Q69" i="89" a="1"/>
  <c r="G51" i="89" a="1"/>
  <c r="G69" i="89" a="1"/>
  <c r="L51" i="89" a="1"/>
  <c r="N51" i="89" s="1"/>
  <c r="Q51" i="89" a="1"/>
  <c r="S51" i="89" s="1"/>
  <c r="L69" i="89" a="1"/>
  <c r="N69" i="89" s="1"/>
  <c r="N17" i="88"/>
  <c r="N19" i="64" s="1"/>
  <c r="L15" i="89"/>
  <c r="Q15" i="89"/>
  <c r="G16" i="89"/>
  <c r="C16" i="89"/>
  <c r="F19" i="60"/>
  <c r="S52" i="89"/>
  <c r="E19" i="60"/>
  <c r="N70" i="89"/>
  <c r="N52" i="89"/>
  <c r="F20" i="60"/>
  <c r="P5" i="3" s="1"/>
  <c r="C20" i="60"/>
  <c r="D5" i="3" s="1"/>
  <c r="D20" i="60"/>
  <c r="H5" i="3" s="1"/>
  <c r="E20" i="60"/>
  <c r="L5" i="3" s="1"/>
  <c r="D10" i="74" a="1"/>
  <c r="Q48" i="89"/>
  <c r="S48" i="89" s="1"/>
  <c r="Q47" i="89"/>
  <c r="S47" i="89" s="1"/>
  <c r="U237" i="91"/>
  <c r="Q238" i="91"/>
  <c r="U224" i="91"/>
  <c r="U244" i="91"/>
  <c r="U233" i="91"/>
  <c r="U250" i="91"/>
  <c r="U236" i="91"/>
  <c r="U252" i="91"/>
  <c r="Q244" i="91"/>
  <c r="U248" i="91"/>
  <c r="Q236" i="91"/>
  <c r="U238" i="91"/>
  <c r="Q225" i="91"/>
  <c r="Q226" i="91"/>
  <c r="Q234" i="91"/>
  <c r="Q254" i="91"/>
  <c r="Q237" i="91"/>
  <c r="Q220" i="91"/>
  <c r="Q221" i="91"/>
  <c r="U225" i="91"/>
  <c r="U226" i="91"/>
  <c r="Q245" i="91"/>
  <c r="Q246" i="91"/>
  <c r="U234" i="91"/>
  <c r="Q253" i="91"/>
  <c r="U254" i="91"/>
  <c r="U220" i="91"/>
  <c r="U221" i="91"/>
  <c r="Q222" i="91"/>
  <c r="Q241" i="91"/>
  <c r="U245" i="91"/>
  <c r="U246" i="91"/>
  <c r="Q247" i="91"/>
  <c r="Q249" i="91"/>
  <c r="U253" i="91"/>
  <c r="U229" i="91"/>
  <c r="Q252" i="91"/>
  <c r="Q239" i="91"/>
  <c r="U222" i="91"/>
  <c r="U241" i="91"/>
  <c r="Q242" i="91"/>
  <c r="Q243" i="91"/>
  <c r="Q227" i="91"/>
  <c r="Q230" i="91"/>
  <c r="U247" i="91"/>
  <c r="Q231" i="91"/>
  <c r="Q232" i="91"/>
  <c r="U249" i="91"/>
  <c r="Q233" i="91"/>
  <c r="U239" i="91"/>
  <c r="Q240" i="91"/>
  <c r="U242" i="91"/>
  <c r="U243" i="91"/>
  <c r="U227" i="91"/>
  <c r="Q228" i="91"/>
  <c r="U230" i="91"/>
  <c r="U231" i="91"/>
  <c r="U232" i="91"/>
  <c r="Q251" i="91"/>
  <c r="U223" i="91"/>
  <c r="Q250" i="91"/>
  <c r="U235" i="91"/>
  <c r="Q219" i="91"/>
  <c r="Q223" i="91"/>
  <c r="U240" i="91"/>
  <c r="U228" i="91"/>
  <c r="Q229" i="91"/>
  <c r="Q248" i="91"/>
  <c r="U251" i="91"/>
  <c r="Q235" i="91"/>
  <c r="U219" i="91"/>
  <c r="Q224" i="91"/>
  <c r="F3" i="90" a="1"/>
  <c r="M32" i="90"/>
  <c r="D4" i="90"/>
  <c r="D11" i="90"/>
  <c r="F4" i="90"/>
  <c r="F17" i="90" s="1"/>
  <c r="H4" i="90"/>
  <c r="J4" i="90"/>
  <c r="F21" i="60"/>
  <c r="F22" i="60" s="1"/>
  <c r="J3" i="90" a="1"/>
  <c r="E21" i="60"/>
  <c r="E22" i="60" s="1"/>
  <c r="H3" i="90" a="1"/>
  <c r="D21" i="60"/>
  <c r="L8" i="89"/>
  <c r="F12" i="64"/>
  <c r="B12" i="64"/>
  <c r="D15" i="61"/>
  <c r="D25" i="61"/>
  <c r="L15" i="61"/>
  <c r="K25" i="61"/>
  <c r="C23" i="61"/>
  <c r="K15" i="61"/>
  <c r="C16" i="61"/>
  <c r="C24" i="61"/>
  <c r="C14" i="61"/>
  <c r="D16" i="61"/>
  <c r="D24" i="61"/>
  <c r="D14" i="61"/>
  <c r="L16" i="61"/>
  <c r="L24" i="61"/>
  <c r="L14" i="61"/>
  <c r="C25" i="61"/>
  <c r="C15" i="61"/>
  <c r="C16" i="72"/>
  <c r="K14" i="61"/>
  <c r="K16" i="61"/>
  <c r="Q8" i="89"/>
  <c r="C8" i="3"/>
  <c r="C7" i="3"/>
  <c r="G8" i="89"/>
  <c r="J8" i="88"/>
  <c r="J16" i="88"/>
  <c r="F8" i="88"/>
  <c r="C15" i="88"/>
  <c r="F15" i="88"/>
  <c r="F16" i="88"/>
  <c r="J15" i="88"/>
  <c r="C16" i="88"/>
  <c r="B7" i="3"/>
  <c r="N16" i="88"/>
  <c r="N15" i="88"/>
  <c r="N8" i="88"/>
  <c r="C8" i="88"/>
  <c r="N12" i="64"/>
  <c r="J12" i="64"/>
  <c r="C18" i="60"/>
  <c r="D3" i="3" s="1"/>
  <c r="B8" i="3"/>
  <c r="L27" i="81"/>
  <c r="F8" i="72"/>
  <c r="H8" i="72"/>
  <c r="D3" i="81"/>
  <c r="C10" i="61"/>
  <c r="E4" i="61" s="1"/>
  <c r="D3" i="80"/>
  <c r="A76" i="74" a="1"/>
  <c r="B6" i="3"/>
  <c r="E8" i="3"/>
  <c r="D11" i="81"/>
  <c r="K24" i="61"/>
  <c r="K23" i="61"/>
  <c r="L41" i="81"/>
  <c r="L41" i="80"/>
  <c r="D4" i="81"/>
  <c r="D21" i="81" s="1"/>
  <c r="D11" i="80"/>
  <c r="F18" i="64"/>
  <c r="L27" i="80"/>
  <c r="F3" i="80"/>
  <c r="B11" i="64"/>
  <c r="E3" i="61"/>
  <c r="D18" i="60"/>
  <c r="F3" i="81"/>
  <c r="F11" i="64"/>
  <c r="B8" i="72"/>
  <c r="D8" i="72"/>
  <c r="C3" i="3"/>
  <c r="F4" i="81"/>
  <c r="F23" i="81" s="1"/>
  <c r="F68" i="81" s="1"/>
  <c r="G68" i="81" s="1"/>
  <c r="G3" i="3"/>
  <c r="O3" i="3"/>
  <c r="C3" i="61"/>
  <c r="J11" i="64"/>
  <c r="K3" i="3"/>
  <c r="H3" i="81"/>
  <c r="N11" i="64"/>
  <c r="H4" i="81"/>
  <c r="I36" i="81" s="1"/>
  <c r="J3" i="81"/>
  <c r="H3" i="80"/>
  <c r="J3" i="80"/>
  <c r="G3" i="61"/>
  <c r="E18" i="60"/>
  <c r="I3" i="61"/>
  <c r="F18" i="60"/>
  <c r="J4" i="81"/>
  <c r="J20" i="81" s="1"/>
  <c r="D4" i="80"/>
  <c r="E23" i="80" s="1"/>
  <c r="H4" i="80"/>
  <c r="H33" i="80" s="1"/>
  <c r="H76" i="80" s="1"/>
  <c r="I76" i="80" s="1"/>
  <c r="M32" i="81"/>
  <c r="J4" i="80"/>
  <c r="J17" i="80" s="1"/>
  <c r="M32" i="80"/>
  <c r="N18" i="64"/>
  <c r="F4" i="80"/>
  <c r="F32" i="80" s="1"/>
  <c r="B18" i="64"/>
  <c r="J18" i="64"/>
  <c r="D35" i="90" l="1"/>
  <c r="K22" i="90"/>
  <c r="J22" i="90"/>
  <c r="I22" i="90"/>
  <c r="H22" i="90"/>
  <c r="G22" i="90"/>
  <c r="F22" i="90"/>
  <c r="E22" i="90"/>
  <c r="D22" i="90"/>
  <c r="B75" i="89" a="1"/>
  <c r="D75" i="89" s="1"/>
  <c r="B68" i="89" a="1"/>
  <c r="J51" i="88" a="1"/>
  <c r="L75" i="89" a="1"/>
  <c r="N75" i="89" s="1"/>
  <c r="L68" i="89" a="1"/>
  <c r="N68" i="89" s="1"/>
  <c r="N51" i="88" a="1"/>
  <c r="Q68" i="89" a="1"/>
  <c r="S68" i="89" s="1"/>
  <c r="Q75" i="89" a="1"/>
  <c r="S75" i="89" s="1"/>
  <c r="L65" i="89"/>
  <c r="N65" i="89" s="1"/>
  <c r="L47" i="89"/>
  <c r="N47" i="89" s="1"/>
  <c r="L66" i="89"/>
  <c r="N66" i="89" s="1"/>
  <c r="L48" i="89"/>
  <c r="N48" i="89" s="1"/>
  <c r="G65" i="89"/>
  <c r="I65" i="89" s="1"/>
  <c r="B42" i="88"/>
  <c r="D42" i="88" s="1"/>
  <c r="B66" i="89"/>
  <c r="D66" i="89" s="1"/>
  <c r="J50" i="88"/>
  <c r="L50" i="88" s="1"/>
  <c r="L32" i="88" s="1"/>
  <c r="L37" i="3" s="1"/>
  <c r="L56" i="89"/>
  <c r="N56" i="89" s="1"/>
  <c r="N38" i="89" s="1"/>
  <c r="L27" i="3" s="1"/>
  <c r="L46" i="89"/>
  <c r="N46" i="89" s="1"/>
  <c r="L64" i="89"/>
  <c r="N64" i="89" s="1"/>
  <c r="L74" i="89"/>
  <c r="N74" i="89" s="1"/>
  <c r="B47" i="89"/>
  <c r="D47" i="89" s="1"/>
  <c r="B41" i="88"/>
  <c r="D41" i="88" s="1"/>
  <c r="B64" i="89"/>
  <c r="D64" i="89" s="1"/>
  <c r="B65" i="89"/>
  <c r="D65" i="89" s="1"/>
  <c r="Q46" i="89"/>
  <c r="S33" i="89" s="1"/>
  <c r="Q56" i="89"/>
  <c r="S37" i="89" s="1"/>
  <c r="F50" i="88"/>
  <c r="G74" i="89"/>
  <c r="I74" i="89" s="1"/>
  <c r="G46" i="89"/>
  <c r="G64" i="89"/>
  <c r="I64" i="89" s="1"/>
  <c r="G56" i="89"/>
  <c r="I37" i="89" s="1"/>
  <c r="B56" i="89"/>
  <c r="D37" i="89" s="1"/>
  <c r="B74" i="89"/>
  <c r="D74" i="89" s="1"/>
  <c r="B40" i="88"/>
  <c r="B50" i="88"/>
  <c r="D50" i="88" s="1"/>
  <c r="D32" i="88" s="1"/>
  <c r="D37" i="3" s="1"/>
  <c r="B46" i="89"/>
  <c r="Q74" i="89"/>
  <c r="S74" i="89" s="1"/>
  <c r="Q64" i="89"/>
  <c r="S64" i="89" s="1"/>
  <c r="N50" i="88"/>
  <c r="D22" i="60"/>
  <c r="G75" i="89" a="1"/>
  <c r="I75" i="89" s="1"/>
  <c r="F46" i="88" a="1"/>
  <c r="H46" i="88" s="1"/>
  <c r="G70" i="89" a="1"/>
  <c r="I70" i="89" s="1"/>
  <c r="G52" i="89" a="1"/>
  <c r="I52" i="89" s="1"/>
  <c r="B70" i="89" a="1"/>
  <c r="D70" i="89" s="1"/>
  <c r="B46" i="88" a="1"/>
  <c r="D46" i="88" s="1"/>
  <c r="Q66" i="89"/>
  <c r="S66" i="89" s="1"/>
  <c r="N46" i="88" a="1"/>
  <c r="P46" i="88" s="1"/>
  <c r="Q70" i="89" a="1"/>
  <c r="S70" i="89" s="1"/>
  <c r="B51" i="88" a="1"/>
  <c r="I68" i="89"/>
  <c r="F51" i="88" a="1"/>
  <c r="E17" i="90"/>
  <c r="G48" i="64" a="1"/>
  <c r="H48" i="64" a="1"/>
  <c r="B48" i="89"/>
  <c r="D48" i="89" s="1"/>
  <c r="C17" i="89"/>
  <c r="B73" i="89" s="1"/>
  <c r="B44" i="88" a="1"/>
  <c r="B50" i="89" a="1"/>
  <c r="B57" i="89" a="1"/>
  <c r="Q50" i="89" a="1"/>
  <c r="Q57" i="89" a="1"/>
  <c r="N44" i="88" a="1"/>
  <c r="J44" i="88" a="1"/>
  <c r="L50" i="89" a="1"/>
  <c r="L57" i="89" a="1"/>
  <c r="G57" i="89" a="1"/>
  <c r="G50" i="89" a="1"/>
  <c r="I50" i="89" s="1"/>
  <c r="F44" i="88" a="1"/>
  <c r="F45" i="88" a="1"/>
  <c r="H45" i="88" s="1"/>
  <c r="J45" i="88" a="1"/>
  <c r="L45" i="88" s="1"/>
  <c r="B45" i="88" a="1"/>
  <c r="D45" i="88" s="1"/>
  <c r="N45" i="88" a="1"/>
  <c r="P45" i="88" s="1"/>
  <c r="G43" i="89"/>
  <c r="H3" i="3"/>
  <c r="Q54" i="89"/>
  <c r="P3" i="3"/>
  <c r="L54" i="89"/>
  <c r="L3" i="3"/>
  <c r="L48" i="64" a="1"/>
  <c r="J48" i="64" a="1"/>
  <c r="K48" i="64" a="1"/>
  <c r="F48" i="64" a="1"/>
  <c r="I48" i="64" a="1"/>
  <c r="B48" i="64" a="1"/>
  <c r="C48" i="64" a="1"/>
  <c r="Q48" i="64" a="1"/>
  <c r="E48" i="64" a="1"/>
  <c r="P48" i="64" a="1"/>
  <c r="D48" i="64" a="1"/>
  <c r="N48" i="64" a="1"/>
  <c r="O48" i="64" a="1"/>
  <c r="M48" i="64" a="1"/>
  <c r="B42" i="64" a="1"/>
  <c r="B28" i="72"/>
  <c r="C28" i="72" s="1"/>
  <c r="H28" i="72"/>
  <c r="I28" i="72" s="1"/>
  <c r="N40" i="88"/>
  <c r="J40" i="88"/>
  <c r="F28" i="72"/>
  <c r="G28" i="72" s="1"/>
  <c r="F40" i="88"/>
  <c r="D28" i="72"/>
  <c r="E28" i="72" s="1"/>
  <c r="I51" i="89"/>
  <c r="I69" i="89"/>
  <c r="C14" i="89"/>
  <c r="G48" i="89"/>
  <c r="I48" i="89" s="1"/>
  <c r="G66" i="89"/>
  <c r="I66" i="89" s="1"/>
  <c r="G47" i="89"/>
  <c r="I47" i="89" s="1"/>
  <c r="G61" i="89"/>
  <c r="G54" i="89"/>
  <c r="G72" i="89"/>
  <c r="C9" i="89"/>
  <c r="B61" i="89"/>
  <c r="B72" i="89"/>
  <c r="D72" i="89" s="1"/>
  <c r="B54" i="89"/>
  <c r="B43" i="89"/>
  <c r="L43" i="89"/>
  <c r="L61" i="89"/>
  <c r="N61" i="89" s="1"/>
  <c r="L72" i="89"/>
  <c r="Q43" i="89"/>
  <c r="S43" i="89" s="1"/>
  <c r="Q34" i="89" s="1"/>
  <c r="P21" i="3" s="1"/>
  <c r="Q61" i="89"/>
  <c r="Q72" i="89"/>
  <c r="S72" i="89" s="1"/>
  <c r="N42" i="64" a="1"/>
  <c r="F32" i="81"/>
  <c r="F75" i="81" s="1"/>
  <c r="K19" i="90"/>
  <c r="K17" i="90"/>
  <c r="J23" i="90"/>
  <c r="J62" i="90" s="1"/>
  <c r="J21" i="90"/>
  <c r="K20" i="90"/>
  <c r="J20" i="90"/>
  <c r="K18" i="90"/>
  <c r="J92" i="90" s="1"/>
  <c r="K92" i="90" s="1"/>
  <c r="K23" i="90"/>
  <c r="J94" i="90" s="1"/>
  <c r="J19" i="90"/>
  <c r="K21" i="90"/>
  <c r="J18" i="90"/>
  <c r="J60" i="90" s="1"/>
  <c r="K60" i="90" s="1"/>
  <c r="J17" i="90"/>
  <c r="I20" i="90"/>
  <c r="I19" i="90"/>
  <c r="I21" i="90"/>
  <c r="H98" i="90" s="1"/>
  <c r="I98" i="90" s="1"/>
  <c r="I23" i="90"/>
  <c r="H94" i="90" s="1"/>
  <c r="H20" i="90"/>
  <c r="I17" i="90"/>
  <c r="H17" i="90"/>
  <c r="I18" i="90"/>
  <c r="H92" i="90" s="1"/>
  <c r="I92" i="90" s="1"/>
  <c r="H19" i="90"/>
  <c r="H18" i="90"/>
  <c r="H60" i="90" s="1"/>
  <c r="I60" i="90" s="1"/>
  <c r="H23" i="90"/>
  <c r="H62" i="90" s="1"/>
  <c r="H21" i="90"/>
  <c r="H66" i="90" s="1"/>
  <c r="I66" i="90" s="1"/>
  <c r="I34" i="81"/>
  <c r="G17" i="90" a="1"/>
  <c r="G21" i="90" a="1"/>
  <c r="F18" i="90" a="1"/>
  <c r="F60" i="90" s="1"/>
  <c r="G60" i="90" s="1"/>
  <c r="F23" i="90" a="1"/>
  <c r="F62" i="90" s="1"/>
  <c r="F21" i="90" a="1"/>
  <c r="F20" i="90" a="1"/>
  <c r="G20" i="90" a="1"/>
  <c r="F19" i="90"/>
  <c r="G23" i="90" a="1"/>
  <c r="F94" i="90" s="1"/>
  <c r="G19" i="90"/>
  <c r="G18" i="90" a="1"/>
  <c r="F92" i="90" s="1"/>
  <c r="G92" i="90" s="1"/>
  <c r="D17" i="90"/>
  <c r="D20" i="90"/>
  <c r="D23" i="90"/>
  <c r="D19" i="90"/>
  <c r="D21" i="90"/>
  <c r="E20" i="90"/>
  <c r="E19" i="90"/>
  <c r="E21" i="90"/>
  <c r="E23" i="90"/>
  <c r="D18" i="90"/>
  <c r="D60" i="90" s="1"/>
  <c r="E60" i="90" s="1"/>
  <c r="E18" i="90"/>
  <c r="D92" i="90" s="1"/>
  <c r="E92" i="90" s="1"/>
  <c r="J42" i="64" a="1"/>
  <c r="F42" i="64" a="1"/>
  <c r="L17" i="89"/>
  <c r="L62" i="89" s="1"/>
  <c r="Q17" i="89"/>
  <c r="N38" i="88" s="1"/>
  <c r="G17" i="89"/>
  <c r="G62" i="89" s="1"/>
  <c r="I62" i="89" s="1"/>
  <c r="C78" i="61"/>
  <c r="C83" i="61" s="1"/>
  <c r="L9" i="89"/>
  <c r="G48" i="61"/>
  <c r="G53" i="61" s="1"/>
  <c r="S69" i="89"/>
  <c r="S65" i="89"/>
  <c r="B9" i="72"/>
  <c r="H32" i="81"/>
  <c r="B29" i="72"/>
  <c r="C29" i="72" s="1"/>
  <c r="B21" i="64"/>
  <c r="B30" i="72"/>
  <c r="C30" i="72" s="1"/>
  <c r="E62" i="61"/>
  <c r="E67" i="61" s="1"/>
  <c r="I98" i="61"/>
  <c r="J98" i="61" s="1"/>
  <c r="E55" i="61"/>
  <c r="I49" i="61"/>
  <c r="I54" i="61" s="1"/>
  <c r="E69" i="61"/>
  <c r="F69" i="61" s="1"/>
  <c r="E64" i="61"/>
  <c r="F64" i="61" s="1"/>
  <c r="I69" i="61"/>
  <c r="J69" i="61" s="1"/>
  <c r="G49" i="61"/>
  <c r="G54" i="61" s="1"/>
  <c r="G64" i="61"/>
  <c r="H64" i="61" s="1"/>
  <c r="E63" i="61"/>
  <c r="E68" i="61" s="1"/>
  <c r="E84" i="61"/>
  <c r="F84" i="61" s="1"/>
  <c r="I93" i="61"/>
  <c r="J93" i="61" s="1"/>
  <c r="I64" i="61"/>
  <c r="J64" i="61" s="1"/>
  <c r="E98" i="61"/>
  <c r="F98" i="61" s="1"/>
  <c r="G69" i="61"/>
  <c r="H69" i="61" s="1"/>
  <c r="G93" i="61"/>
  <c r="H93" i="61" s="1"/>
  <c r="E48" i="61"/>
  <c r="E53" i="61" s="1"/>
  <c r="G98" i="61"/>
  <c r="H98" i="61" s="1"/>
  <c r="E93" i="61"/>
  <c r="F93" i="61" s="1"/>
  <c r="I48" i="61"/>
  <c r="I53" i="61" s="1"/>
  <c r="E49" i="61"/>
  <c r="E54" i="61" s="1"/>
  <c r="F54" i="61" s="1"/>
  <c r="Q14" i="89"/>
  <c r="L14" i="89"/>
  <c r="Q9" i="89"/>
  <c r="G9" i="89"/>
  <c r="F37" i="88"/>
  <c r="F48" i="88"/>
  <c r="B48" i="88"/>
  <c r="B37" i="88"/>
  <c r="G14" i="89"/>
  <c r="N48" i="88"/>
  <c r="N37" i="88"/>
  <c r="J48" i="88"/>
  <c r="J37" i="88"/>
  <c r="J21" i="64"/>
  <c r="L46" i="88"/>
  <c r="H34" i="72"/>
  <c r="I34" i="72" s="1"/>
  <c r="I35" i="72" s="1"/>
  <c r="Q40" i="3" s="1"/>
  <c r="N21" i="64"/>
  <c r="F41" i="88"/>
  <c r="H41" i="88" s="1"/>
  <c r="F42" i="88"/>
  <c r="H42" i="88" s="1"/>
  <c r="F30" i="72"/>
  <c r="G30" i="72" s="1"/>
  <c r="J41" i="88"/>
  <c r="L41" i="88" s="1"/>
  <c r="J42" i="88"/>
  <c r="L42" i="88" s="1"/>
  <c r="N41" i="88"/>
  <c r="P41" i="88" s="1"/>
  <c r="N42" i="88"/>
  <c r="P42" i="88" s="1"/>
  <c r="F9" i="88"/>
  <c r="N9" i="88"/>
  <c r="C14" i="88"/>
  <c r="H13" i="72"/>
  <c r="J9" i="88"/>
  <c r="B13" i="72"/>
  <c r="N14" i="88"/>
  <c r="F14" i="88"/>
  <c r="J14" i="88"/>
  <c r="C9" i="88"/>
  <c r="F29" i="72"/>
  <c r="G29" i="72" s="1"/>
  <c r="J20" i="64"/>
  <c r="F13" i="72"/>
  <c r="D30" i="72"/>
  <c r="E30" i="72" s="1"/>
  <c r="D13" i="72"/>
  <c r="D29" i="72"/>
  <c r="E29" i="72" s="1"/>
  <c r="H29" i="72"/>
  <c r="I29" i="72" s="1"/>
  <c r="H30" i="72"/>
  <c r="I30" i="72" s="1"/>
  <c r="F20" i="64"/>
  <c r="F34" i="72"/>
  <c r="G34" i="72" s="1"/>
  <c r="G35" i="72" s="1"/>
  <c r="M40" i="3" s="1"/>
  <c r="N20" i="64"/>
  <c r="N38" i="64" s="1"/>
  <c r="G21" i="81"/>
  <c r="B20" i="64"/>
  <c r="R42" i="64"/>
  <c r="I35" i="81"/>
  <c r="I21" i="81"/>
  <c r="J34" i="81"/>
  <c r="J83" i="81" s="1"/>
  <c r="K83" i="81" s="1"/>
  <c r="K32" i="81"/>
  <c r="J107" i="81" s="1"/>
  <c r="K107" i="81" s="1"/>
  <c r="I33" i="81"/>
  <c r="H114" i="81" s="1"/>
  <c r="I114" i="81" s="1"/>
  <c r="H37" i="81"/>
  <c r="I37" i="81"/>
  <c r="H35" i="81"/>
  <c r="B27" i="64"/>
  <c r="F36" i="81"/>
  <c r="K37" i="81"/>
  <c r="J116" i="81" s="1"/>
  <c r="F35" i="81"/>
  <c r="H22" i="81"/>
  <c r="E34" i="81"/>
  <c r="E36" i="81"/>
  <c r="E33" i="81"/>
  <c r="G4" i="61"/>
  <c r="J20" i="80"/>
  <c r="J65" i="80" s="1"/>
  <c r="K65" i="80" s="1"/>
  <c r="C4" i="61"/>
  <c r="C48" i="61" s="1"/>
  <c r="C53" i="61" s="1"/>
  <c r="D37" i="81"/>
  <c r="I4" i="61"/>
  <c r="E32" i="81"/>
  <c r="D32" i="81"/>
  <c r="D20" i="81"/>
  <c r="D36" i="81"/>
  <c r="E19" i="81"/>
  <c r="D93" i="81" s="1"/>
  <c r="E93" i="81" s="1"/>
  <c r="E35" i="81"/>
  <c r="E20" i="81"/>
  <c r="E23" i="81"/>
  <c r="D100" i="81" s="1"/>
  <c r="E100" i="81" s="1"/>
  <c r="D33" i="81"/>
  <c r="C84" i="61"/>
  <c r="D84" i="61" s="1"/>
  <c r="C69" i="61"/>
  <c r="D69" i="61" s="1"/>
  <c r="C35" i="72"/>
  <c r="C92" i="61"/>
  <c r="D92" i="61" s="1"/>
  <c r="I33" i="80"/>
  <c r="H108" i="80" s="1"/>
  <c r="I108" i="80" s="1"/>
  <c r="I36" i="80"/>
  <c r="I36" i="90" s="1"/>
  <c r="I19" i="80"/>
  <c r="K35" i="80"/>
  <c r="I21" i="80"/>
  <c r="I22" i="80"/>
  <c r="E92" i="61"/>
  <c r="F92" i="61" s="1"/>
  <c r="I34" i="80"/>
  <c r="H109" i="80" s="1"/>
  <c r="I109" i="80" s="1"/>
  <c r="H35" i="80"/>
  <c r="I35" i="80"/>
  <c r="H32" i="80"/>
  <c r="I18" i="80"/>
  <c r="H92" i="80" s="1"/>
  <c r="I92" i="80" s="1"/>
  <c r="H37" i="80"/>
  <c r="H84" i="80" s="1"/>
  <c r="I84" i="80" s="1"/>
  <c r="I37" i="80"/>
  <c r="H116" i="80" s="1"/>
  <c r="I116" i="80" s="1"/>
  <c r="H20" i="80"/>
  <c r="H19" i="80"/>
  <c r="H61" i="80" s="1"/>
  <c r="I61" i="80" s="1"/>
  <c r="H17" i="80"/>
  <c r="H59" i="80" s="1"/>
  <c r="I20" i="80"/>
  <c r="H23" i="80"/>
  <c r="H68" i="80" s="1"/>
  <c r="I68" i="80" s="1"/>
  <c r="I23" i="80"/>
  <c r="H100" i="80" s="1"/>
  <c r="I100" i="80" s="1"/>
  <c r="E37" i="81"/>
  <c r="D35" i="81"/>
  <c r="D23" i="81"/>
  <c r="D62" i="81" s="1"/>
  <c r="D34" i="81"/>
  <c r="E18" i="81"/>
  <c r="D92" i="81" s="1"/>
  <c r="E92" i="81" s="1"/>
  <c r="E22" i="81"/>
  <c r="K36" i="81"/>
  <c r="D22" i="81"/>
  <c r="E21" i="81"/>
  <c r="E17" i="81"/>
  <c r="D91" i="81" s="1"/>
  <c r="K22" i="81"/>
  <c r="I17" i="80"/>
  <c r="H91" i="80" s="1"/>
  <c r="I32" i="80"/>
  <c r="H18" i="80"/>
  <c r="H60" i="80" s="1"/>
  <c r="I60" i="80" s="1"/>
  <c r="E77" i="61"/>
  <c r="F77" i="61" s="1"/>
  <c r="F18" i="81"/>
  <c r="F60" i="81" s="1"/>
  <c r="G60" i="81" s="1"/>
  <c r="G36" i="81"/>
  <c r="G35" i="81"/>
  <c r="G33" i="81"/>
  <c r="K18" i="80"/>
  <c r="J92" i="80" s="1"/>
  <c r="K92" i="80" s="1"/>
  <c r="G20" i="80"/>
  <c r="E91" i="61"/>
  <c r="E96" i="61" s="1"/>
  <c r="G37" i="81"/>
  <c r="F116" i="81" s="1"/>
  <c r="G116" i="81" s="1"/>
  <c r="G23" i="81"/>
  <c r="F100" i="81" s="1"/>
  <c r="G100" i="81" s="1"/>
  <c r="F21" i="64"/>
  <c r="E20" i="80"/>
  <c r="E22" i="80"/>
  <c r="D18" i="80"/>
  <c r="D60" i="80" s="1"/>
  <c r="E60" i="80" s="1"/>
  <c r="D34" i="72"/>
  <c r="E34" i="72" s="1"/>
  <c r="E35" i="72" s="1"/>
  <c r="G22" i="81"/>
  <c r="F20" i="81"/>
  <c r="E78" i="61"/>
  <c r="F78" i="61" s="1"/>
  <c r="G34" i="81"/>
  <c r="F115" i="81" s="1"/>
  <c r="G115" i="81" s="1"/>
  <c r="G20" i="81"/>
  <c r="F37" i="81"/>
  <c r="F84" i="81" s="1"/>
  <c r="G84" i="81" s="1"/>
  <c r="G19" i="81"/>
  <c r="F93" i="81" s="1"/>
  <c r="G93" i="81" s="1"/>
  <c r="F22" i="81"/>
  <c r="F21" i="81"/>
  <c r="E79" i="61"/>
  <c r="F79" i="61" s="1"/>
  <c r="G18" i="81"/>
  <c r="F92" i="81" s="1"/>
  <c r="G92" i="81" s="1"/>
  <c r="F19" i="81"/>
  <c r="F61" i="81" s="1"/>
  <c r="G61" i="81" s="1"/>
  <c r="F33" i="81"/>
  <c r="F76" i="81" s="1"/>
  <c r="G76" i="81" s="1"/>
  <c r="F34" i="81"/>
  <c r="F83" i="81" s="1"/>
  <c r="G83" i="81" s="1"/>
  <c r="G17" i="81"/>
  <c r="F91" i="81" s="1"/>
  <c r="F17" i="81"/>
  <c r="F59" i="81" s="1"/>
  <c r="G32" i="81"/>
  <c r="E50" i="61"/>
  <c r="F50" i="61" s="1"/>
  <c r="D32" i="80"/>
  <c r="H22" i="80"/>
  <c r="H34" i="80"/>
  <c r="H83" i="80" s="1"/>
  <c r="H36" i="80"/>
  <c r="H82" i="80" s="1"/>
  <c r="I82" i="80" s="1"/>
  <c r="J21" i="80"/>
  <c r="K32" i="80"/>
  <c r="K19" i="80"/>
  <c r="F19" i="80"/>
  <c r="F61" i="80" s="1"/>
  <c r="G61" i="80" s="1"/>
  <c r="K20" i="80"/>
  <c r="J32" i="80"/>
  <c r="K22" i="80"/>
  <c r="J33" i="80"/>
  <c r="J76" i="80" s="1"/>
  <c r="K76" i="80" s="1"/>
  <c r="D19" i="81"/>
  <c r="D61" i="81" s="1"/>
  <c r="E61" i="81" s="1"/>
  <c r="L61" i="81" s="1"/>
  <c r="D17" i="81"/>
  <c r="D59" i="81" s="1"/>
  <c r="E59" i="81" s="1"/>
  <c r="L59" i="81" s="1"/>
  <c r="D18" i="81"/>
  <c r="D60" i="81" s="1"/>
  <c r="E60" i="81" s="1"/>
  <c r="L60" i="81" s="1"/>
  <c r="I22" i="81"/>
  <c r="G92" i="61"/>
  <c r="H92" i="61" s="1"/>
  <c r="I20" i="81"/>
  <c r="I17" i="81"/>
  <c r="H91" i="81" s="1"/>
  <c r="I32" i="81"/>
  <c r="H21" i="81"/>
  <c r="H36" i="81"/>
  <c r="G63" i="61"/>
  <c r="H63" i="61" s="1"/>
  <c r="G78" i="61"/>
  <c r="G83" i="61" s="1"/>
  <c r="F35" i="80"/>
  <c r="F81" i="80" s="1"/>
  <c r="G81" i="80" s="1"/>
  <c r="F20" i="80"/>
  <c r="F36" i="80"/>
  <c r="I77" i="61"/>
  <c r="J77" i="61" s="1"/>
  <c r="F21" i="80"/>
  <c r="F37" i="80"/>
  <c r="F84" i="80" s="1"/>
  <c r="G84" i="80" s="1"/>
  <c r="I50" i="61"/>
  <c r="J50" i="61" s="1"/>
  <c r="G34" i="80"/>
  <c r="F115" i="80" s="1"/>
  <c r="G115" i="80" s="1"/>
  <c r="G22" i="80"/>
  <c r="F22" i="80"/>
  <c r="G17" i="80"/>
  <c r="F91" i="80" s="1"/>
  <c r="H21" i="80"/>
  <c r="G79" i="61"/>
  <c r="H79" i="61" s="1"/>
  <c r="I91" i="61"/>
  <c r="J91" i="61" s="1"/>
  <c r="F23" i="80"/>
  <c r="F62" i="80" s="1"/>
  <c r="G62" i="80" s="1"/>
  <c r="I78" i="61"/>
  <c r="J78" i="61" s="1"/>
  <c r="F17" i="80"/>
  <c r="F59" i="80" s="1"/>
  <c r="F33" i="80"/>
  <c r="F76" i="80" s="1"/>
  <c r="G76" i="80" s="1"/>
  <c r="I79" i="61"/>
  <c r="J79" i="61" s="1"/>
  <c r="I63" i="61"/>
  <c r="F18" i="80"/>
  <c r="F60" i="80" s="1"/>
  <c r="G60" i="80" s="1"/>
  <c r="F34" i="80"/>
  <c r="F83" i="80" s="1"/>
  <c r="G83" i="80" s="1"/>
  <c r="I84" i="61"/>
  <c r="J84" i="61" s="1"/>
  <c r="I92" i="61"/>
  <c r="J92" i="61" s="1"/>
  <c r="I62" i="61"/>
  <c r="J62" i="61" s="1"/>
  <c r="G91" i="61"/>
  <c r="H91" i="61" s="1"/>
  <c r="G77" i="61"/>
  <c r="G82" i="61" s="1"/>
  <c r="G50" i="61"/>
  <c r="H50" i="61" s="1"/>
  <c r="G62" i="61"/>
  <c r="H62" i="61" s="1"/>
  <c r="G84" i="61"/>
  <c r="H84" i="61" s="1"/>
  <c r="J36" i="81"/>
  <c r="J35" i="81"/>
  <c r="J32" i="81"/>
  <c r="K23" i="81"/>
  <c r="J94" i="81" s="1"/>
  <c r="K94" i="81" s="1"/>
  <c r="K35" i="81"/>
  <c r="K20" i="81"/>
  <c r="J18" i="81"/>
  <c r="J60" i="81" s="1"/>
  <c r="K60" i="81" s="1"/>
  <c r="J21" i="81"/>
  <c r="J37" i="81"/>
  <c r="J84" i="81" s="1"/>
  <c r="K84" i="81" s="1"/>
  <c r="K34" i="81"/>
  <c r="J115" i="81" s="1"/>
  <c r="K115" i="81" s="1"/>
  <c r="J34" i="80"/>
  <c r="J83" i="80" s="1"/>
  <c r="K83" i="80" s="1"/>
  <c r="K19" i="81"/>
  <c r="J93" i="81" s="1"/>
  <c r="K93" i="81" s="1"/>
  <c r="K33" i="81"/>
  <c r="J108" i="81" s="1"/>
  <c r="K108" i="81" s="1"/>
  <c r="K18" i="81"/>
  <c r="J92" i="81" s="1"/>
  <c r="K92" i="81" s="1"/>
  <c r="J59" i="80"/>
  <c r="K59" i="80" s="1"/>
  <c r="H18" i="81"/>
  <c r="H60" i="81" s="1"/>
  <c r="I60" i="81" s="1"/>
  <c r="K21" i="81"/>
  <c r="G32" i="80"/>
  <c r="F62" i="81"/>
  <c r="G62" i="81" s="1"/>
  <c r="D94" i="80"/>
  <c r="E94" i="80" s="1"/>
  <c r="D100" i="80"/>
  <c r="E100" i="80" s="1"/>
  <c r="C64" i="61"/>
  <c r="D64" i="61" s="1"/>
  <c r="E32" i="80"/>
  <c r="D22" i="80"/>
  <c r="D17" i="80"/>
  <c r="D59" i="80" s="1"/>
  <c r="C62" i="61"/>
  <c r="D62" i="61" s="1"/>
  <c r="D33" i="80"/>
  <c r="D76" i="80" s="1"/>
  <c r="E76" i="80" s="1"/>
  <c r="D19" i="80"/>
  <c r="D61" i="80" s="1"/>
  <c r="E61" i="80" s="1"/>
  <c r="C77" i="61"/>
  <c r="D77" i="61" s="1"/>
  <c r="D23" i="80"/>
  <c r="D9" i="72"/>
  <c r="C98" i="61"/>
  <c r="D98" i="61" s="1"/>
  <c r="E19" i="80"/>
  <c r="D93" i="80" s="1"/>
  <c r="E93" i="80" s="1"/>
  <c r="D34" i="80"/>
  <c r="D83" i="80" s="1"/>
  <c r="E83" i="80" s="1"/>
  <c r="E17" i="80"/>
  <c r="C63" i="61"/>
  <c r="E36" i="80"/>
  <c r="C93" i="61"/>
  <c r="D93" i="61" s="1"/>
  <c r="D35" i="80"/>
  <c r="E18" i="80"/>
  <c r="D92" i="80" s="1"/>
  <c r="E92" i="80" s="1"/>
  <c r="E35" i="80"/>
  <c r="D36" i="80"/>
  <c r="E37" i="80"/>
  <c r="D116" i="80" s="1"/>
  <c r="E116" i="80" s="1"/>
  <c r="E33" i="80"/>
  <c r="D108" i="80" s="1"/>
  <c r="E108" i="80" s="1"/>
  <c r="D21" i="80"/>
  <c r="D66" i="80" s="1"/>
  <c r="E66" i="80" s="1"/>
  <c r="D20" i="80"/>
  <c r="C91" i="61"/>
  <c r="D91" i="61" s="1"/>
  <c r="D37" i="80"/>
  <c r="D84" i="80" s="1"/>
  <c r="E84" i="80" s="1"/>
  <c r="E34" i="80"/>
  <c r="C79" i="61"/>
  <c r="D79" i="61" s="1"/>
  <c r="C50" i="61"/>
  <c r="D50" i="61" s="1"/>
  <c r="E21" i="80"/>
  <c r="H17" i="81"/>
  <c r="I23" i="81"/>
  <c r="H94" i="81" s="1"/>
  <c r="I94" i="81" s="1"/>
  <c r="J33" i="81"/>
  <c r="J76" i="81" s="1"/>
  <c r="K76" i="81" s="1"/>
  <c r="J22" i="81"/>
  <c r="J19" i="81"/>
  <c r="J61" i="81" s="1"/>
  <c r="K61" i="81" s="1"/>
  <c r="J17" i="81"/>
  <c r="J59" i="81" s="1"/>
  <c r="K59" i="81" s="1"/>
  <c r="J23" i="81"/>
  <c r="J68" i="81" s="1"/>
  <c r="K68" i="81" s="1"/>
  <c r="H9" i="72"/>
  <c r="H34" i="81"/>
  <c r="I19" i="81"/>
  <c r="K17" i="81"/>
  <c r="H20" i="81"/>
  <c r="I18" i="81"/>
  <c r="H92" i="81" s="1"/>
  <c r="I92" i="81" s="1"/>
  <c r="H33" i="81"/>
  <c r="H19" i="81"/>
  <c r="H23" i="81"/>
  <c r="F9" i="72"/>
  <c r="K21" i="80"/>
  <c r="J98" i="80" s="1"/>
  <c r="K98" i="80" s="1"/>
  <c r="J22" i="80"/>
  <c r="J35" i="80"/>
  <c r="K23" i="80"/>
  <c r="J100" i="80" s="1"/>
  <c r="K100" i="80" s="1"/>
  <c r="J18" i="80"/>
  <c r="J60" i="80" s="1"/>
  <c r="K60" i="80" s="1"/>
  <c r="J19" i="80"/>
  <c r="K17" i="80"/>
  <c r="J91" i="80" s="1"/>
  <c r="J23" i="80"/>
  <c r="J62" i="80" s="1"/>
  <c r="K62" i="80" s="1"/>
  <c r="J37" i="80"/>
  <c r="J36" i="80"/>
  <c r="K33" i="80"/>
  <c r="J108" i="80" s="1"/>
  <c r="K108" i="80" s="1"/>
  <c r="K36" i="80"/>
  <c r="K37" i="80"/>
  <c r="J116" i="80" s="1"/>
  <c r="K116" i="80" s="1"/>
  <c r="K34" i="80"/>
  <c r="J115" i="80" s="1"/>
  <c r="K115" i="80" s="1"/>
  <c r="G23" i="80"/>
  <c r="F100" i="80" s="1"/>
  <c r="G100" i="80" s="1"/>
  <c r="G33" i="80"/>
  <c r="F108" i="80" s="1"/>
  <c r="G108" i="80" s="1"/>
  <c r="G18" i="80"/>
  <c r="F92" i="80" s="1"/>
  <c r="G92" i="80" s="1"/>
  <c r="G21" i="80"/>
  <c r="F98" i="80" s="1"/>
  <c r="G98" i="80" s="1"/>
  <c r="G19" i="80"/>
  <c r="G36" i="80"/>
  <c r="F75" i="80"/>
  <c r="G75" i="80" s="1"/>
  <c r="G35" i="80"/>
  <c r="G37" i="80"/>
  <c r="D65" i="90" l="1"/>
  <c r="B39" i="64"/>
  <c r="C47" i="64" s="1"/>
  <c r="C49" i="64" s="1"/>
  <c r="B38" i="64"/>
  <c r="B31" i="64" s="1" a="1"/>
  <c r="J99" i="90"/>
  <c r="K99" i="90" s="1"/>
  <c r="H67" i="90"/>
  <c r="I67" i="90" s="1"/>
  <c r="D99" i="90"/>
  <c r="E99" i="90" s="1"/>
  <c r="F99" i="90"/>
  <c r="G99" i="90" s="1"/>
  <c r="D67" i="90"/>
  <c r="E67" i="90" s="1"/>
  <c r="F67" i="90"/>
  <c r="G67" i="90" s="1"/>
  <c r="H99" i="90"/>
  <c r="I99" i="90" s="1"/>
  <c r="J67" i="90"/>
  <c r="K67" i="90" s="1"/>
  <c r="N37" i="89"/>
  <c r="N34" i="89"/>
  <c r="N35" i="89" s="1"/>
  <c r="M22" i="3" s="1"/>
  <c r="S46" i="89"/>
  <c r="S34" i="89" s="1"/>
  <c r="S35" i="89" s="1"/>
  <c r="Q22" i="3" s="1"/>
  <c r="N33" i="89"/>
  <c r="S56" i="89"/>
  <c r="S38" i="89" s="1"/>
  <c r="P27" i="3" s="1"/>
  <c r="D33" i="89"/>
  <c r="J98" i="90"/>
  <c r="K98" i="90" s="1"/>
  <c r="J66" i="81"/>
  <c r="K66" i="81" s="1"/>
  <c r="F66" i="90"/>
  <c r="G66" i="90" s="1"/>
  <c r="J98" i="81"/>
  <c r="K98" i="81" s="1"/>
  <c r="D66" i="90"/>
  <c r="E66" i="90" s="1"/>
  <c r="F66" i="80"/>
  <c r="G66" i="80" s="1"/>
  <c r="H66" i="81"/>
  <c r="I66" i="81" s="1"/>
  <c r="J66" i="80"/>
  <c r="K66" i="80" s="1"/>
  <c r="H98" i="81"/>
  <c r="I98" i="81" s="1"/>
  <c r="F98" i="90"/>
  <c r="G98" i="90" s="1"/>
  <c r="F98" i="81"/>
  <c r="G98" i="81" s="1"/>
  <c r="F66" i="81"/>
  <c r="G66" i="81" s="1"/>
  <c r="H66" i="80"/>
  <c r="I66" i="80" s="1"/>
  <c r="D98" i="80"/>
  <c r="E98" i="80" s="1"/>
  <c r="D98" i="81"/>
  <c r="E98" i="81" s="1"/>
  <c r="H98" i="80"/>
  <c r="I98" i="80" s="1"/>
  <c r="D98" i="90"/>
  <c r="E98" i="90" s="1"/>
  <c r="J66" i="90"/>
  <c r="K66" i="90" s="1"/>
  <c r="D66" i="81"/>
  <c r="E66" i="81" s="1"/>
  <c r="L66" i="81" s="1"/>
  <c r="H36" i="90"/>
  <c r="G36" i="90"/>
  <c r="E36" i="90"/>
  <c r="K36" i="90"/>
  <c r="J36" i="90"/>
  <c r="F36" i="90"/>
  <c r="D36" i="90"/>
  <c r="D46" i="89"/>
  <c r="D34" i="89" s="1"/>
  <c r="D35" i="89" s="1"/>
  <c r="B62" i="89"/>
  <c r="F33" i="89" s="1"/>
  <c r="B49" i="88"/>
  <c r="D49" i="88" s="1"/>
  <c r="C32" i="88" s="1"/>
  <c r="D36" i="3" s="1"/>
  <c r="B55" i="89"/>
  <c r="D55" i="89" s="1"/>
  <c r="C38" i="89" s="1"/>
  <c r="C39" i="89" s="1"/>
  <c r="B44" i="89"/>
  <c r="D44" i="89" s="1"/>
  <c r="C34" i="89" s="1"/>
  <c r="C35" i="89" s="1"/>
  <c r="F41" i="64" a="1"/>
  <c r="I31" i="64" s="1" a="1"/>
  <c r="I32" i="64" s="1"/>
  <c r="F38" i="64"/>
  <c r="J39" i="64"/>
  <c r="K47" i="64" s="1"/>
  <c r="J38" i="64"/>
  <c r="J31" i="64" s="1" a="1"/>
  <c r="G42" i="64"/>
  <c r="K42" i="64"/>
  <c r="O42" i="64"/>
  <c r="N31" i="64" a="1"/>
  <c r="C42" i="64"/>
  <c r="I32" i="90"/>
  <c r="D32" i="90"/>
  <c r="K35" i="90"/>
  <c r="H34" i="90"/>
  <c r="D33" i="90"/>
  <c r="D76" i="90" s="1"/>
  <c r="J32" i="90"/>
  <c r="J34" i="90"/>
  <c r="J83" i="90" s="1"/>
  <c r="K83" i="90" s="1"/>
  <c r="D34" i="90"/>
  <c r="H32" i="90"/>
  <c r="I34" i="90"/>
  <c r="G32" i="90"/>
  <c r="F107" i="90" s="1"/>
  <c r="E37" i="90"/>
  <c r="I37" i="90"/>
  <c r="E32" i="90"/>
  <c r="E34" i="90"/>
  <c r="H37" i="90"/>
  <c r="H78" i="90" s="1"/>
  <c r="F37" i="90"/>
  <c r="F78" i="90" s="1"/>
  <c r="D37" i="90"/>
  <c r="D84" i="90" s="1"/>
  <c r="J40" i="64"/>
  <c r="N40" i="64"/>
  <c r="F39" i="64"/>
  <c r="G47" i="64" s="1"/>
  <c r="F40" i="64"/>
  <c r="N39" i="64"/>
  <c r="B40" i="64"/>
  <c r="G37" i="90"/>
  <c r="F110" i="90" s="1"/>
  <c r="G110" i="90" s="1"/>
  <c r="K34" i="90"/>
  <c r="J109" i="90" s="1"/>
  <c r="K109" i="90" s="1"/>
  <c r="K32" i="90"/>
  <c r="J107" i="90" s="1"/>
  <c r="K107" i="90" s="1"/>
  <c r="G34" i="90"/>
  <c r="F109" i="90" s="1"/>
  <c r="G109" i="90" s="1"/>
  <c r="F34" i="90"/>
  <c r="F77" i="90" s="1"/>
  <c r="G77" i="90" s="1"/>
  <c r="J37" i="90"/>
  <c r="J78" i="90" s="1"/>
  <c r="F32" i="90"/>
  <c r="F75" i="90" s="1"/>
  <c r="G75" i="90" s="1"/>
  <c r="K37" i="90"/>
  <c r="E70" i="61"/>
  <c r="F37" i="89"/>
  <c r="K33" i="89"/>
  <c r="K34" i="89" s="1"/>
  <c r="H24" i="3" s="1"/>
  <c r="I46" i="89"/>
  <c r="I34" i="89" s="1"/>
  <c r="H22" i="3" s="1"/>
  <c r="I33" i="89"/>
  <c r="P33" i="89"/>
  <c r="I72" i="89"/>
  <c r="Q33" i="89"/>
  <c r="N72" i="89"/>
  <c r="D82" i="80"/>
  <c r="E82" i="80" s="1"/>
  <c r="J82" i="80"/>
  <c r="K82" i="80" s="1"/>
  <c r="F82" i="80"/>
  <c r="G82" i="80" s="1"/>
  <c r="J82" i="81"/>
  <c r="K82" i="81" s="1"/>
  <c r="H114" i="80"/>
  <c r="I114" i="80" s="1"/>
  <c r="F113" i="81"/>
  <c r="G113" i="81" s="1"/>
  <c r="D68" i="89"/>
  <c r="Q62" i="89"/>
  <c r="S62" i="89" s="1"/>
  <c r="G35" i="90"/>
  <c r="J35" i="90"/>
  <c r="H82" i="81"/>
  <c r="I82" i="81" s="1"/>
  <c r="D108" i="81"/>
  <c r="E108" i="81" s="1"/>
  <c r="E33" i="90"/>
  <c r="D108" i="90" s="1"/>
  <c r="E108" i="90" s="1"/>
  <c r="H35" i="90"/>
  <c r="H83" i="81"/>
  <c r="I83" i="81" s="1"/>
  <c r="D116" i="81"/>
  <c r="E116" i="81" s="1"/>
  <c r="D75" i="81"/>
  <c r="E75" i="81" s="1"/>
  <c r="L75" i="81" s="1"/>
  <c r="D114" i="81"/>
  <c r="E114" i="81" s="1"/>
  <c r="H116" i="81"/>
  <c r="I116" i="81" s="1"/>
  <c r="H75" i="81"/>
  <c r="I75" i="81" s="1"/>
  <c r="H109" i="81"/>
  <c r="I109" i="81" s="1"/>
  <c r="K33" i="90"/>
  <c r="J108" i="90" s="1"/>
  <c r="K108" i="90" s="1"/>
  <c r="F108" i="81"/>
  <c r="G108" i="81" s="1"/>
  <c r="G33" i="90"/>
  <c r="F108" i="90" s="1"/>
  <c r="G108" i="90" s="1"/>
  <c r="D76" i="81"/>
  <c r="E76" i="81" s="1"/>
  <c r="L76" i="81" s="1"/>
  <c r="D107" i="81"/>
  <c r="E107" i="81" s="1"/>
  <c r="D109" i="81"/>
  <c r="E109" i="81" s="1"/>
  <c r="H84" i="81"/>
  <c r="I84" i="81" s="1"/>
  <c r="H108" i="81"/>
  <c r="I108" i="81" s="1"/>
  <c r="I33" i="90"/>
  <c r="H108" i="90" s="1"/>
  <c r="I108" i="90" s="1"/>
  <c r="J33" i="90"/>
  <c r="J76" i="90" s="1"/>
  <c r="K76" i="90" s="1"/>
  <c r="D84" i="81"/>
  <c r="E84" i="81" s="1"/>
  <c r="L84" i="81" s="1"/>
  <c r="F81" i="81"/>
  <c r="G81" i="81" s="1"/>
  <c r="F35" i="90"/>
  <c r="E35" i="90"/>
  <c r="F33" i="90"/>
  <c r="F76" i="90" s="1"/>
  <c r="G76" i="90" s="1"/>
  <c r="D83" i="81"/>
  <c r="E83" i="81" s="1"/>
  <c r="L83" i="81" s="1"/>
  <c r="F82" i="81"/>
  <c r="G82" i="81" s="1"/>
  <c r="H76" i="81"/>
  <c r="I76" i="81" s="1"/>
  <c r="H33" i="90"/>
  <c r="H76" i="90" s="1"/>
  <c r="I76" i="90" s="1"/>
  <c r="D82" i="81"/>
  <c r="E82" i="81" s="1"/>
  <c r="L82" i="81" s="1"/>
  <c r="I35" i="90"/>
  <c r="H115" i="81"/>
  <c r="I115" i="81" s="1"/>
  <c r="F65" i="90"/>
  <c r="F59" i="90"/>
  <c r="H65" i="90"/>
  <c r="H59" i="90"/>
  <c r="D94" i="90"/>
  <c r="E94" i="90" s="1"/>
  <c r="D100" i="90"/>
  <c r="E100" i="90" s="1"/>
  <c r="D68" i="90"/>
  <c r="E68" i="90" s="1"/>
  <c r="D62" i="90"/>
  <c r="E62" i="90" s="1"/>
  <c r="I62" i="90"/>
  <c r="H68" i="90"/>
  <c r="I68" i="90" s="1"/>
  <c r="F93" i="90"/>
  <c r="G93" i="90" s="1"/>
  <c r="H100" i="90"/>
  <c r="I100" i="90" s="1"/>
  <c r="I94" i="90"/>
  <c r="D61" i="90"/>
  <c r="E61" i="90" s="1"/>
  <c r="H91" i="90"/>
  <c r="H97" i="90"/>
  <c r="D97" i="90"/>
  <c r="D91" i="90"/>
  <c r="F100" i="90"/>
  <c r="G100" i="90" s="1"/>
  <c r="G94" i="90"/>
  <c r="F91" i="90"/>
  <c r="F97" i="90"/>
  <c r="H61" i="90"/>
  <c r="I61" i="90" s="1"/>
  <c r="J61" i="90"/>
  <c r="K61" i="90" s="1"/>
  <c r="K62" i="90"/>
  <c r="J68" i="90"/>
  <c r="K68" i="90" s="1"/>
  <c r="F68" i="90"/>
  <c r="G68" i="90" s="1"/>
  <c r="G62" i="90"/>
  <c r="D93" i="90"/>
  <c r="E93" i="90" s="1"/>
  <c r="D59" i="90"/>
  <c r="F61" i="90"/>
  <c r="G61" i="90" s="1"/>
  <c r="H93" i="90"/>
  <c r="I93" i="90" s="1"/>
  <c r="K94" i="90"/>
  <c r="J100" i="90"/>
  <c r="K100" i="90" s="1"/>
  <c r="J97" i="90"/>
  <c r="J91" i="90"/>
  <c r="J65" i="90"/>
  <c r="J59" i="90"/>
  <c r="J93" i="90"/>
  <c r="K93" i="90" s="1"/>
  <c r="I40" i="3"/>
  <c r="J35" i="72"/>
  <c r="U40" i="3" s="1"/>
  <c r="E40" i="3"/>
  <c r="J49" i="88"/>
  <c r="L49" i="88" s="1"/>
  <c r="K32" i="88" s="1"/>
  <c r="L36" i="3" s="1"/>
  <c r="Q35" i="89"/>
  <c r="Q20" i="3" s="1"/>
  <c r="P20" i="3"/>
  <c r="L44" i="89"/>
  <c r="M33" i="89" s="1"/>
  <c r="L73" i="89"/>
  <c r="P37" i="89" s="1"/>
  <c r="L55" i="89"/>
  <c r="M37" i="89" s="1"/>
  <c r="J38" i="88"/>
  <c r="K27" i="88" s="1"/>
  <c r="N39" i="89"/>
  <c r="M27" i="3" s="1"/>
  <c r="G44" i="89"/>
  <c r="H33" i="89" s="1"/>
  <c r="Q44" i="89"/>
  <c r="S44" i="89" s="1"/>
  <c r="R34" i="89" s="1"/>
  <c r="R35" i="89" s="1"/>
  <c r="Q21" i="3" s="1"/>
  <c r="Q73" i="89"/>
  <c r="S73" i="89" s="1"/>
  <c r="U38" i="89" s="1"/>
  <c r="Q55" i="89"/>
  <c r="S55" i="89" s="1"/>
  <c r="R38" i="89" s="1"/>
  <c r="P26" i="3" s="1"/>
  <c r="N49" i="88"/>
  <c r="P49" i="88" s="1"/>
  <c r="O32" i="88" s="1"/>
  <c r="P36" i="3" s="1"/>
  <c r="F38" i="88"/>
  <c r="H38" i="88" s="1"/>
  <c r="G28" i="88" s="1"/>
  <c r="H32" i="3" s="1"/>
  <c r="G55" i="89"/>
  <c r="I55" i="89" s="1"/>
  <c r="H38" i="89" s="1"/>
  <c r="H26" i="3" s="1"/>
  <c r="G73" i="89"/>
  <c r="I73" i="89" s="1"/>
  <c r="F49" i="88"/>
  <c r="H49" i="88" s="1"/>
  <c r="G32" i="88" s="1"/>
  <c r="H36" i="3" s="1"/>
  <c r="D73" i="89"/>
  <c r="F38" i="89" s="1"/>
  <c r="B38" i="88"/>
  <c r="C27" i="88" s="1"/>
  <c r="J41" i="64" a="1"/>
  <c r="M31" i="64" s="1" a="1"/>
  <c r="N41" i="64" a="1"/>
  <c r="Q31" i="64" s="1" a="1"/>
  <c r="B41" i="64" a="1"/>
  <c r="E31" i="64" s="1" a="1"/>
  <c r="U33" i="64" s="1"/>
  <c r="S57" i="89"/>
  <c r="T38" i="89" s="1"/>
  <c r="P28" i="3" s="1"/>
  <c r="T37" i="89"/>
  <c r="T33" i="89"/>
  <c r="S50" i="89"/>
  <c r="T34" i="89" s="1"/>
  <c r="N57" i="89"/>
  <c r="O38" i="89" s="1"/>
  <c r="L28" i="3" s="1"/>
  <c r="O37" i="89"/>
  <c r="O33" i="89"/>
  <c r="N50" i="89"/>
  <c r="O34" i="89" s="1"/>
  <c r="L33" i="89"/>
  <c r="N43" i="89"/>
  <c r="L34" i="89" s="1"/>
  <c r="N54" i="89"/>
  <c r="L38" i="89" s="1"/>
  <c r="L25" i="3" s="1"/>
  <c r="L37" i="89"/>
  <c r="Q37" i="89"/>
  <c r="S54" i="89"/>
  <c r="Q38" i="89" s="1"/>
  <c r="P25" i="3" s="1"/>
  <c r="D31" i="88"/>
  <c r="F55" i="61"/>
  <c r="H81" i="81"/>
  <c r="D56" i="89"/>
  <c r="D38" i="89" s="1"/>
  <c r="D39" i="89" s="1"/>
  <c r="F48" i="61"/>
  <c r="H113" i="81"/>
  <c r="I113" i="81" s="1"/>
  <c r="H81" i="80"/>
  <c r="I81" i="80" s="1"/>
  <c r="F63" i="61"/>
  <c r="F49" i="61"/>
  <c r="H54" i="61" s="1"/>
  <c r="J48" i="61"/>
  <c r="D63" i="61"/>
  <c r="C68" i="61"/>
  <c r="D68" i="61" s="1"/>
  <c r="H83" i="61"/>
  <c r="G85" i="61"/>
  <c r="B31" i="72"/>
  <c r="C31" i="72" s="1"/>
  <c r="C32" i="72" s="1"/>
  <c r="I56" i="89"/>
  <c r="I38" i="89" s="1"/>
  <c r="H27" i="3" s="1"/>
  <c r="D61" i="89"/>
  <c r="J33" i="89"/>
  <c r="J34" i="89"/>
  <c r="H23" i="3" s="1"/>
  <c r="S61" i="89"/>
  <c r="I57" i="89"/>
  <c r="J38" i="89" s="1"/>
  <c r="H28" i="3" s="1"/>
  <c r="J37" i="89"/>
  <c r="I43" i="89"/>
  <c r="G34" i="89" s="1"/>
  <c r="H20" i="3" s="1"/>
  <c r="G33" i="89"/>
  <c r="E33" i="89"/>
  <c r="D50" i="89"/>
  <c r="E34" i="89" s="1"/>
  <c r="E35" i="89" s="1"/>
  <c r="B33" i="89"/>
  <c r="D43" i="89"/>
  <c r="B34" i="89" s="1"/>
  <c r="B35" i="89" s="1"/>
  <c r="N62" i="89"/>
  <c r="I54" i="89"/>
  <c r="G38" i="89" s="1"/>
  <c r="H25" i="3" s="1"/>
  <c r="G37" i="89"/>
  <c r="E37" i="89"/>
  <c r="D57" i="89"/>
  <c r="E38" i="89" s="1"/>
  <c r="E39" i="89" s="1"/>
  <c r="I61" i="89"/>
  <c r="D54" i="89"/>
  <c r="B38" i="89" s="1"/>
  <c r="B39" i="89" s="1"/>
  <c r="B37" i="89"/>
  <c r="J110" i="81"/>
  <c r="K110" i="81" s="1"/>
  <c r="L31" i="88"/>
  <c r="L33" i="88"/>
  <c r="M37" i="3" s="1"/>
  <c r="D33" i="88"/>
  <c r="P50" i="88"/>
  <c r="P32" i="88" s="1"/>
  <c r="P37" i="3" s="1"/>
  <c r="P31" i="88"/>
  <c r="D44" i="88"/>
  <c r="E28" i="88" s="1"/>
  <c r="D34" i="3" s="1"/>
  <c r="E27" i="88"/>
  <c r="N31" i="88"/>
  <c r="P48" i="88"/>
  <c r="N32" i="88" s="1"/>
  <c r="P35" i="3" s="1"/>
  <c r="H31" i="88"/>
  <c r="H50" i="88"/>
  <c r="H32" i="88" s="1"/>
  <c r="H37" i="3" s="1"/>
  <c r="B31" i="88"/>
  <c r="D48" i="88"/>
  <c r="B32" i="88" s="1"/>
  <c r="D35" i="3" s="1"/>
  <c r="N27" i="88"/>
  <c r="P37" i="88"/>
  <c r="N28" i="88" s="1"/>
  <c r="P31" i="3" s="1"/>
  <c r="M31" i="88"/>
  <c r="L51" i="88"/>
  <c r="M32" i="88" s="1"/>
  <c r="L38" i="3" s="1"/>
  <c r="L37" i="88"/>
  <c r="J28" i="88" s="1"/>
  <c r="L31" i="3" s="1"/>
  <c r="J27" i="88"/>
  <c r="M27" i="88"/>
  <c r="L44" i="88"/>
  <c r="M28" i="88" s="1"/>
  <c r="L34" i="3" s="1"/>
  <c r="B27" i="88"/>
  <c r="D37" i="88"/>
  <c r="B28" i="88" s="1"/>
  <c r="D31" i="3" s="1"/>
  <c r="L40" i="88"/>
  <c r="L28" i="88" s="1"/>
  <c r="L33" i="3" s="1"/>
  <c r="L27" i="88"/>
  <c r="I27" i="88"/>
  <c r="H44" i="88"/>
  <c r="I28" i="88" s="1"/>
  <c r="H34" i="3" s="1"/>
  <c r="P40" i="88"/>
  <c r="P28" i="88" s="1"/>
  <c r="P33" i="3" s="1"/>
  <c r="P27" i="88"/>
  <c r="H40" i="88"/>
  <c r="H28" i="88" s="1"/>
  <c r="H33" i="3" s="1"/>
  <c r="H27" i="88"/>
  <c r="H48" i="88"/>
  <c r="F32" i="88" s="1"/>
  <c r="H35" i="3" s="1"/>
  <c r="F31" i="88"/>
  <c r="D40" i="88"/>
  <c r="D28" i="88" s="1"/>
  <c r="D33" i="3" s="1"/>
  <c r="D27" i="88"/>
  <c r="F27" i="88"/>
  <c r="H37" i="88"/>
  <c r="F28" i="88" s="1"/>
  <c r="H31" i="3" s="1"/>
  <c r="P44" i="88"/>
  <c r="Q28" i="88" s="1"/>
  <c r="P34" i="3" s="1"/>
  <c r="Q27" i="88"/>
  <c r="Q31" i="88"/>
  <c r="P51" i="88"/>
  <c r="Q32" i="88" s="1"/>
  <c r="P38" i="3" s="1"/>
  <c r="J31" i="88"/>
  <c r="L48" i="88"/>
  <c r="J32" i="88" s="1"/>
  <c r="L35" i="3" s="1"/>
  <c r="F31" i="72"/>
  <c r="G31" i="72" s="1"/>
  <c r="G32" i="72" s="1"/>
  <c r="K40" i="3" s="1"/>
  <c r="I31" i="88"/>
  <c r="H51" i="88"/>
  <c r="I32" i="88" s="1"/>
  <c r="H38" i="3" s="1"/>
  <c r="D51" i="88"/>
  <c r="E32" i="88" s="1"/>
  <c r="D38" i="3" s="1"/>
  <c r="E31" i="88"/>
  <c r="P38" i="88"/>
  <c r="O28" i="88" s="1"/>
  <c r="P32" i="3" s="1"/>
  <c r="O27" i="88"/>
  <c r="H31" i="72"/>
  <c r="I31" i="72" s="1"/>
  <c r="I32" i="72" s="1"/>
  <c r="O40" i="3" s="1"/>
  <c r="C55" i="61"/>
  <c r="D55" i="61" s="1"/>
  <c r="J77" i="81"/>
  <c r="K77" i="81" s="1"/>
  <c r="D48" i="61"/>
  <c r="J113" i="81"/>
  <c r="K113" i="81" s="1"/>
  <c r="H48" i="61"/>
  <c r="E97" i="61"/>
  <c r="H78" i="81"/>
  <c r="I78" i="81" s="1"/>
  <c r="H110" i="81"/>
  <c r="I110" i="81" s="1"/>
  <c r="J113" i="80"/>
  <c r="K113" i="80" s="1"/>
  <c r="H99" i="80"/>
  <c r="I99" i="80" s="1"/>
  <c r="H62" i="80"/>
  <c r="I62" i="80" s="1"/>
  <c r="I55" i="61"/>
  <c r="J55" i="61" s="1"/>
  <c r="D99" i="81"/>
  <c r="E99" i="81" s="1"/>
  <c r="J49" i="61"/>
  <c r="J54" i="61"/>
  <c r="C49" i="61"/>
  <c r="G55" i="61"/>
  <c r="H55" i="61" s="1"/>
  <c r="D68" i="81"/>
  <c r="E68" i="81" s="1"/>
  <c r="L68" i="81" s="1"/>
  <c r="D94" i="81"/>
  <c r="E94" i="81" s="1"/>
  <c r="D115" i="81"/>
  <c r="E115" i="81" s="1"/>
  <c r="H110" i="80"/>
  <c r="I110" i="80" s="1"/>
  <c r="H67" i="80"/>
  <c r="I67" i="80" s="1"/>
  <c r="H113" i="80"/>
  <c r="I113" i="80" s="1"/>
  <c r="D113" i="81"/>
  <c r="E113" i="81" s="1"/>
  <c r="H65" i="80"/>
  <c r="I65" i="80" s="1"/>
  <c r="D97" i="81"/>
  <c r="E97" i="81" s="1"/>
  <c r="D78" i="81"/>
  <c r="E78" i="81" s="1"/>
  <c r="L78" i="81" s="1"/>
  <c r="H93" i="80"/>
  <c r="I93" i="80" s="1"/>
  <c r="H115" i="80"/>
  <c r="I115" i="80" s="1"/>
  <c r="D110" i="81"/>
  <c r="E110" i="81" s="1"/>
  <c r="I82" i="61"/>
  <c r="J82" i="61" s="1"/>
  <c r="D81" i="81"/>
  <c r="E81" i="81" s="1"/>
  <c r="L81" i="81" s="1"/>
  <c r="H75" i="80"/>
  <c r="I75" i="80" s="1"/>
  <c r="C97" i="61"/>
  <c r="H94" i="80"/>
  <c r="I94" i="80" s="1"/>
  <c r="D31" i="72"/>
  <c r="E31" i="72" s="1"/>
  <c r="E32" i="72" s="1"/>
  <c r="E56" i="61"/>
  <c r="H78" i="80"/>
  <c r="I78" i="80" s="1"/>
  <c r="D77" i="81"/>
  <c r="E77" i="81" s="1"/>
  <c r="L77" i="81" s="1"/>
  <c r="F91" i="61"/>
  <c r="E94" i="61"/>
  <c r="E82" i="61"/>
  <c r="F82" i="61" s="1"/>
  <c r="H77" i="61"/>
  <c r="J81" i="81"/>
  <c r="K81" i="81" s="1"/>
  <c r="F99" i="81"/>
  <c r="G99" i="81" s="1"/>
  <c r="D114" i="80"/>
  <c r="E114" i="80" s="1"/>
  <c r="D81" i="80"/>
  <c r="E81" i="80" s="1"/>
  <c r="J81" i="80"/>
  <c r="K81" i="80" s="1"/>
  <c r="D113" i="80"/>
  <c r="E113" i="80" s="1"/>
  <c r="H97" i="80"/>
  <c r="F67" i="81"/>
  <c r="G67" i="81" s="1"/>
  <c r="J114" i="80"/>
  <c r="K114" i="80" s="1"/>
  <c r="H99" i="81"/>
  <c r="I99" i="81" s="1"/>
  <c r="F114" i="80"/>
  <c r="G114" i="80" s="1"/>
  <c r="J114" i="81"/>
  <c r="K114" i="81" s="1"/>
  <c r="F114" i="81"/>
  <c r="G114" i="81" s="1"/>
  <c r="J99" i="80"/>
  <c r="K99" i="80" s="1"/>
  <c r="F65" i="81"/>
  <c r="G65" i="81" s="1"/>
  <c r="F97" i="80"/>
  <c r="G97" i="80" s="1"/>
  <c r="H97" i="81"/>
  <c r="F97" i="81"/>
  <c r="G97" i="81" s="1"/>
  <c r="F110" i="81"/>
  <c r="G110" i="81" s="1"/>
  <c r="D97" i="80"/>
  <c r="E97" i="80" s="1"/>
  <c r="D99" i="80"/>
  <c r="E99" i="80" s="1"/>
  <c r="D65" i="80"/>
  <c r="E65" i="80" s="1"/>
  <c r="F65" i="80"/>
  <c r="G65" i="80" s="1"/>
  <c r="F78" i="81"/>
  <c r="G78" i="81" s="1"/>
  <c r="D75" i="80"/>
  <c r="E75" i="80" s="1"/>
  <c r="F77" i="81"/>
  <c r="G77" i="81" s="1"/>
  <c r="F107" i="81"/>
  <c r="G107" i="81" s="1"/>
  <c r="H107" i="80"/>
  <c r="I107" i="80" s="1"/>
  <c r="J107" i="80"/>
  <c r="K107" i="80" s="1"/>
  <c r="H78" i="61"/>
  <c r="G97" i="61"/>
  <c r="F94" i="81"/>
  <c r="G94" i="81" s="1"/>
  <c r="I67" i="61"/>
  <c r="F68" i="61"/>
  <c r="E65" i="61"/>
  <c r="F65" i="61" s="1"/>
  <c r="F62" i="61"/>
  <c r="E83" i="61"/>
  <c r="J99" i="81"/>
  <c r="K99" i="81" s="1"/>
  <c r="E80" i="61"/>
  <c r="E51" i="61"/>
  <c r="F51" i="61" s="1"/>
  <c r="J75" i="80"/>
  <c r="K75" i="80" s="1"/>
  <c r="F109" i="81"/>
  <c r="G109" i="81" s="1"/>
  <c r="C82" i="61"/>
  <c r="J93" i="80"/>
  <c r="K93" i="80" s="1"/>
  <c r="J97" i="81"/>
  <c r="K97" i="81" s="1"/>
  <c r="H77" i="80"/>
  <c r="I77" i="80" s="1"/>
  <c r="D91" i="80"/>
  <c r="E91" i="80" s="1"/>
  <c r="F67" i="80"/>
  <c r="G67" i="80" s="1"/>
  <c r="I83" i="80"/>
  <c r="G94" i="61"/>
  <c r="H94" i="61" s="1"/>
  <c r="G65" i="61"/>
  <c r="H65" i="61" s="1"/>
  <c r="G68" i="61"/>
  <c r="I80" i="61"/>
  <c r="J80" i="61" s="1"/>
  <c r="I83" i="61"/>
  <c r="J67" i="81"/>
  <c r="K67" i="81" s="1"/>
  <c r="D67" i="81"/>
  <c r="E67" i="81" s="1"/>
  <c r="L67" i="81" s="1"/>
  <c r="D65" i="81"/>
  <c r="H107" i="81"/>
  <c r="I107" i="81" s="1"/>
  <c r="G96" i="61"/>
  <c r="C65" i="61"/>
  <c r="D65" i="61" s="1"/>
  <c r="C80" i="61"/>
  <c r="D80" i="61" s="1"/>
  <c r="C67" i="61"/>
  <c r="H100" i="81"/>
  <c r="I100" i="81" s="1"/>
  <c r="I96" i="61"/>
  <c r="I65" i="61"/>
  <c r="J65" i="61" s="1"/>
  <c r="J67" i="80"/>
  <c r="K67" i="80" s="1"/>
  <c r="G67" i="61"/>
  <c r="H67" i="61" s="1"/>
  <c r="F77" i="80"/>
  <c r="G77" i="80" s="1"/>
  <c r="F109" i="80"/>
  <c r="G109" i="80" s="1"/>
  <c r="D110" i="80"/>
  <c r="E110" i="80" s="1"/>
  <c r="J109" i="81"/>
  <c r="K109" i="81" s="1"/>
  <c r="F68" i="80"/>
  <c r="G68" i="80" s="1"/>
  <c r="F78" i="80"/>
  <c r="G78" i="80" s="1"/>
  <c r="D83" i="61"/>
  <c r="J62" i="81"/>
  <c r="K62" i="81" s="1"/>
  <c r="D78" i="61"/>
  <c r="I94" i="61"/>
  <c r="J94" i="61" s="1"/>
  <c r="C94" i="61"/>
  <c r="D94" i="61" s="1"/>
  <c r="I97" i="61"/>
  <c r="I68" i="61"/>
  <c r="C96" i="61"/>
  <c r="J63" i="61"/>
  <c r="J100" i="81"/>
  <c r="K100" i="81" s="1"/>
  <c r="J77" i="80"/>
  <c r="K77" i="80" s="1"/>
  <c r="J75" i="81"/>
  <c r="K75" i="81" s="1"/>
  <c r="G80" i="61"/>
  <c r="H80" i="61" s="1"/>
  <c r="J94" i="80"/>
  <c r="K94" i="80" s="1"/>
  <c r="J78" i="81"/>
  <c r="K78" i="81" s="1"/>
  <c r="H77" i="81"/>
  <c r="I77" i="81" s="1"/>
  <c r="J68" i="80"/>
  <c r="K68" i="80" s="1"/>
  <c r="H93" i="81"/>
  <c r="I93" i="81" s="1"/>
  <c r="J91" i="81"/>
  <c r="K91" i="81" s="1"/>
  <c r="D77" i="80"/>
  <c r="E77" i="80" s="1"/>
  <c r="D78" i="80"/>
  <c r="E78" i="80" s="1"/>
  <c r="D107" i="80"/>
  <c r="E107" i="80" s="1"/>
  <c r="F113" i="80"/>
  <c r="G113" i="80" s="1"/>
  <c r="F107" i="80"/>
  <c r="G107" i="80" s="1"/>
  <c r="D67" i="80"/>
  <c r="E67" i="80" s="1"/>
  <c r="J109" i="80"/>
  <c r="K109" i="80" s="1"/>
  <c r="D115" i="80"/>
  <c r="D109" i="80"/>
  <c r="E109" i="80" s="1"/>
  <c r="D68" i="80"/>
  <c r="E68" i="80" s="1"/>
  <c r="D62" i="80"/>
  <c r="E62" i="80" s="1"/>
  <c r="H67" i="81"/>
  <c r="I67" i="81" s="1"/>
  <c r="H61" i="81"/>
  <c r="I61" i="81" s="1"/>
  <c r="J65" i="81"/>
  <c r="J97" i="80"/>
  <c r="H68" i="81"/>
  <c r="I68" i="81" s="1"/>
  <c r="H62" i="81"/>
  <c r="I62" i="81" s="1"/>
  <c r="H65" i="81"/>
  <c r="H59" i="81"/>
  <c r="J110" i="80"/>
  <c r="J84" i="80"/>
  <c r="K84" i="80" s="1"/>
  <c r="J78" i="80"/>
  <c r="J61" i="80"/>
  <c r="K61" i="80" s="1"/>
  <c r="F94" i="80"/>
  <c r="G94" i="80" s="1"/>
  <c r="G75" i="81"/>
  <c r="H53" i="61"/>
  <c r="I59" i="80"/>
  <c r="I91" i="81"/>
  <c r="H82" i="61"/>
  <c r="G59" i="80"/>
  <c r="F63" i="80"/>
  <c r="G63" i="80" s="1"/>
  <c r="G91" i="81"/>
  <c r="K91" i="80"/>
  <c r="G91" i="80"/>
  <c r="D53" i="61"/>
  <c r="I91" i="80"/>
  <c r="F116" i="80"/>
  <c r="G116" i="80" s="1"/>
  <c r="F110" i="80"/>
  <c r="G110" i="80" s="1"/>
  <c r="E91" i="81"/>
  <c r="F99" i="80"/>
  <c r="G99" i="80" s="1"/>
  <c r="F93" i="80"/>
  <c r="G93" i="80" s="1"/>
  <c r="G59" i="81"/>
  <c r="F63" i="81"/>
  <c r="G63" i="81" s="1"/>
  <c r="F96" i="61"/>
  <c r="F67" i="61"/>
  <c r="E62" i="81"/>
  <c r="L62" i="81" s="1"/>
  <c r="D63" i="81"/>
  <c r="E63" i="81" s="1"/>
  <c r="L63" i="81" s="1"/>
  <c r="E59" i="80"/>
  <c r="K116" i="81"/>
  <c r="L22" i="3" l="1"/>
  <c r="P22" i="3"/>
  <c r="S39" i="89"/>
  <c r="Q27" i="3" s="1"/>
  <c r="F39" i="89"/>
  <c r="F31" i="64" a="1"/>
  <c r="F32" i="64" s="1"/>
  <c r="G15" i="3" s="1"/>
  <c r="F47" i="64"/>
  <c r="F49" i="64" s="1"/>
  <c r="D62" i="89"/>
  <c r="C31" i="88"/>
  <c r="C39" i="64"/>
  <c r="C31" i="64" a="1"/>
  <c r="G41" i="64"/>
  <c r="I47" i="64"/>
  <c r="I49" i="64" s="1"/>
  <c r="K31" i="64" a="1"/>
  <c r="K32" i="64" s="1"/>
  <c r="K16" i="3" s="1"/>
  <c r="L31" i="64" a="1"/>
  <c r="L32" i="64" s="1"/>
  <c r="K17" i="3" s="1"/>
  <c r="L47" i="64"/>
  <c r="L49" i="64" s="1"/>
  <c r="D31" i="64" a="1"/>
  <c r="D47" i="64"/>
  <c r="D49" i="64" s="1"/>
  <c r="P31" i="64" a="1"/>
  <c r="P32" i="64" s="1"/>
  <c r="O17" i="3" s="1"/>
  <c r="P47" i="64"/>
  <c r="P49" i="64" s="1"/>
  <c r="O31" i="64" a="1"/>
  <c r="O32" i="64" s="1"/>
  <c r="O16" i="3" s="1"/>
  <c r="O47" i="64"/>
  <c r="O49" i="64" s="1"/>
  <c r="J32" i="64"/>
  <c r="K15" i="3" s="1"/>
  <c r="J47" i="64"/>
  <c r="J49" i="64" s="1"/>
  <c r="H31" i="64" a="1"/>
  <c r="H32" i="64" s="1"/>
  <c r="G17" i="3" s="1"/>
  <c r="H47" i="64"/>
  <c r="H49" i="64" s="1"/>
  <c r="N32" i="64"/>
  <c r="O15" i="3" s="1"/>
  <c r="N47" i="64"/>
  <c r="N49" i="64" s="1"/>
  <c r="B47" i="64"/>
  <c r="B49" i="64" s="1"/>
  <c r="G31" i="64" a="1"/>
  <c r="G32" i="64" s="1"/>
  <c r="G16" i="3" s="1"/>
  <c r="G49" i="64"/>
  <c r="D69" i="90"/>
  <c r="E76" i="90"/>
  <c r="F84" i="90"/>
  <c r="G84" i="90" s="1"/>
  <c r="F81" i="90"/>
  <c r="G81" i="90" s="1"/>
  <c r="Q32" i="64"/>
  <c r="M32" i="64"/>
  <c r="O39" i="64"/>
  <c r="E47" i="64"/>
  <c r="E49" i="64" s="1"/>
  <c r="E32" i="64"/>
  <c r="C18" i="3" s="1"/>
  <c r="Q47" i="64"/>
  <c r="Q49" i="64" s="1"/>
  <c r="M47" i="64"/>
  <c r="M49" i="64" s="1"/>
  <c r="K38" i="89"/>
  <c r="K39" i="89" s="1"/>
  <c r="K37" i="89"/>
  <c r="U37" i="89"/>
  <c r="U33" i="89"/>
  <c r="U34" i="89" s="1"/>
  <c r="F114" i="90"/>
  <c r="G114" i="90" s="1"/>
  <c r="J82" i="90"/>
  <c r="K82" i="90" s="1"/>
  <c r="F85" i="80"/>
  <c r="G85" i="80" s="1"/>
  <c r="H114" i="90"/>
  <c r="I114" i="90" s="1"/>
  <c r="D82" i="90"/>
  <c r="F82" i="90"/>
  <c r="G82" i="90" s="1"/>
  <c r="J114" i="90"/>
  <c r="K114" i="90" s="1"/>
  <c r="D114" i="90"/>
  <c r="E114" i="90" s="1"/>
  <c r="H82" i="90"/>
  <c r="I82" i="90" s="1"/>
  <c r="J81" i="90"/>
  <c r="K81" i="90" s="1"/>
  <c r="H113" i="90"/>
  <c r="I113" i="90" s="1"/>
  <c r="D22" i="3"/>
  <c r="D23" i="3"/>
  <c r="D26" i="3"/>
  <c r="D28" i="3"/>
  <c r="D20" i="3"/>
  <c r="E20" i="3"/>
  <c r="D25" i="3"/>
  <c r="D21" i="3"/>
  <c r="D27" i="3"/>
  <c r="E27" i="3"/>
  <c r="F83" i="90"/>
  <c r="G83" i="90" s="1"/>
  <c r="J75" i="90"/>
  <c r="K75" i="90" s="1"/>
  <c r="F115" i="90"/>
  <c r="G115" i="90" s="1"/>
  <c r="J77" i="90"/>
  <c r="K77" i="90" s="1"/>
  <c r="H101" i="81"/>
  <c r="H102" i="81" s="1"/>
  <c r="H85" i="81"/>
  <c r="I85" i="81" s="1"/>
  <c r="F116" i="90"/>
  <c r="G116" i="90" s="1"/>
  <c r="J115" i="90"/>
  <c r="K115" i="90" s="1"/>
  <c r="F111" i="90"/>
  <c r="G111" i="90" s="1"/>
  <c r="H107" i="90"/>
  <c r="I107" i="90" s="1"/>
  <c r="G78" i="90"/>
  <c r="D77" i="90"/>
  <c r="D83" i="90"/>
  <c r="I78" i="90"/>
  <c r="H84" i="90"/>
  <c r="I84" i="90" s="1"/>
  <c r="H110" i="90"/>
  <c r="I110" i="90" s="1"/>
  <c r="H116" i="90"/>
  <c r="I116" i="90" s="1"/>
  <c r="H83" i="90"/>
  <c r="I83" i="90" s="1"/>
  <c r="H77" i="90"/>
  <c r="I77" i="90" s="1"/>
  <c r="J113" i="90"/>
  <c r="H75" i="90"/>
  <c r="H81" i="90"/>
  <c r="F85" i="81"/>
  <c r="G85" i="81" s="1"/>
  <c r="D78" i="90"/>
  <c r="D115" i="90"/>
  <c r="E115" i="90" s="1"/>
  <c r="D109" i="90"/>
  <c r="E109" i="90" s="1"/>
  <c r="K78" i="90"/>
  <c r="J84" i="90"/>
  <c r="D116" i="90"/>
  <c r="E116" i="90" s="1"/>
  <c r="D110" i="90"/>
  <c r="E110" i="90" s="1"/>
  <c r="F113" i="90"/>
  <c r="G113" i="90" s="1"/>
  <c r="G107" i="90"/>
  <c r="D113" i="90"/>
  <c r="D107" i="90"/>
  <c r="H115" i="90"/>
  <c r="H109" i="90"/>
  <c r="I109" i="90" s="1"/>
  <c r="D81" i="90"/>
  <c r="D75" i="90"/>
  <c r="F117" i="81"/>
  <c r="G117" i="81" s="1"/>
  <c r="J116" i="90"/>
  <c r="K116" i="90" s="1"/>
  <c r="J110" i="90"/>
  <c r="K110" i="90" s="1"/>
  <c r="K97" i="90"/>
  <c r="J101" i="90"/>
  <c r="E65" i="90"/>
  <c r="E97" i="90"/>
  <c r="D101" i="90"/>
  <c r="I97" i="90"/>
  <c r="H101" i="90"/>
  <c r="H63" i="90"/>
  <c r="I63" i="90" s="1"/>
  <c r="I59" i="90"/>
  <c r="K91" i="90"/>
  <c r="J95" i="90"/>
  <c r="K95" i="90" s="1"/>
  <c r="E59" i="90"/>
  <c r="D63" i="90"/>
  <c r="E63" i="90" s="1"/>
  <c r="E91" i="90"/>
  <c r="D95" i="90"/>
  <c r="E95" i="90" s="1"/>
  <c r="H95" i="90"/>
  <c r="I95" i="90" s="1"/>
  <c r="I91" i="90"/>
  <c r="H69" i="90"/>
  <c r="I65" i="90"/>
  <c r="G59" i="90"/>
  <c r="F63" i="90"/>
  <c r="G63" i="90" s="1"/>
  <c r="G97" i="90"/>
  <c r="F101" i="90"/>
  <c r="G91" i="90"/>
  <c r="F95" i="90"/>
  <c r="G95" i="90" s="1"/>
  <c r="G65" i="90"/>
  <c r="F69" i="90"/>
  <c r="J69" i="90"/>
  <c r="K65" i="90"/>
  <c r="K59" i="90"/>
  <c r="J63" i="90"/>
  <c r="K63" i="90" s="1"/>
  <c r="G40" i="3"/>
  <c r="J32" i="72"/>
  <c r="S40" i="3" s="1"/>
  <c r="E37" i="3"/>
  <c r="L38" i="88"/>
  <c r="K28" i="88" s="1"/>
  <c r="L32" i="3" s="1"/>
  <c r="O31" i="88"/>
  <c r="C40" i="3"/>
  <c r="K31" i="88"/>
  <c r="N55" i="89"/>
  <c r="M38" i="89" s="1"/>
  <c r="L26" i="3" s="1"/>
  <c r="N73" i="89"/>
  <c r="N44" i="89"/>
  <c r="M34" i="89" s="1"/>
  <c r="L35" i="89"/>
  <c r="M20" i="3" s="1"/>
  <c r="L20" i="3"/>
  <c r="T35" i="89"/>
  <c r="Q23" i="3" s="1"/>
  <c r="P23" i="3"/>
  <c r="O35" i="89"/>
  <c r="M23" i="3" s="1"/>
  <c r="L23" i="3"/>
  <c r="D38" i="88"/>
  <c r="C28" i="88" s="1"/>
  <c r="O29" i="88"/>
  <c r="Q32" i="3" s="1"/>
  <c r="R39" i="89"/>
  <c r="Q26" i="3" s="1"/>
  <c r="E26" i="3"/>
  <c r="C33" i="88"/>
  <c r="H39" i="89"/>
  <c r="E21" i="3"/>
  <c r="G29" i="88"/>
  <c r="I32" i="3" s="1"/>
  <c r="G35" i="89"/>
  <c r="Q39" i="89"/>
  <c r="Q25" i="3" s="1"/>
  <c r="G39" i="89"/>
  <c r="E25" i="3"/>
  <c r="L39" i="89"/>
  <c r="M25" i="3" s="1"/>
  <c r="T39" i="89"/>
  <c r="Q28" i="3" s="1"/>
  <c r="K35" i="89"/>
  <c r="I39" i="89"/>
  <c r="E28" i="3"/>
  <c r="J35" i="89"/>
  <c r="P34" i="89"/>
  <c r="I35" i="89"/>
  <c r="E23" i="3"/>
  <c r="O39" i="89"/>
  <c r="M28" i="3" s="1"/>
  <c r="J39" i="89"/>
  <c r="E22" i="3"/>
  <c r="R37" i="89"/>
  <c r="P29" i="3"/>
  <c r="I44" i="89"/>
  <c r="H34" i="89" s="1"/>
  <c r="H21" i="3" s="1"/>
  <c r="G27" i="88"/>
  <c r="C33" i="89"/>
  <c r="H37" i="89"/>
  <c r="R33" i="89"/>
  <c r="D29" i="3"/>
  <c r="K39" i="64"/>
  <c r="G31" i="88"/>
  <c r="C37" i="89"/>
  <c r="F34" i="89"/>
  <c r="F35" i="89" s="1"/>
  <c r="O41" i="64"/>
  <c r="K41" i="64"/>
  <c r="C41" i="64"/>
  <c r="I81" i="81"/>
  <c r="H85" i="80"/>
  <c r="I85" i="80" s="1"/>
  <c r="H117" i="81"/>
  <c r="I117" i="81" s="1"/>
  <c r="D49" i="61"/>
  <c r="C54" i="61"/>
  <c r="F94" i="61"/>
  <c r="E39" i="61"/>
  <c r="E40" i="61" s="1"/>
  <c r="D67" i="61"/>
  <c r="C70" i="61"/>
  <c r="D70" i="61" s="1"/>
  <c r="D82" i="61"/>
  <c r="C85" i="61"/>
  <c r="D85" i="61" s="1"/>
  <c r="J83" i="61"/>
  <c r="I85" i="61"/>
  <c r="J85" i="61" s="1"/>
  <c r="F83" i="61"/>
  <c r="E85" i="61"/>
  <c r="F85" i="61" s="1"/>
  <c r="H68" i="61"/>
  <c r="G70" i="61"/>
  <c r="H70" i="61" s="1"/>
  <c r="H97" i="61"/>
  <c r="G99" i="61"/>
  <c r="D97" i="61"/>
  <c r="C99" i="61"/>
  <c r="F97" i="61"/>
  <c r="E99" i="61"/>
  <c r="F99" i="61" s="1"/>
  <c r="J68" i="61"/>
  <c r="I70" i="61"/>
  <c r="J97" i="61"/>
  <c r="I99" i="61"/>
  <c r="F70" i="61"/>
  <c r="G56" i="61"/>
  <c r="H56" i="61" s="1"/>
  <c r="G38" i="64"/>
  <c r="J101" i="80"/>
  <c r="K101" i="80" s="1"/>
  <c r="H101" i="80"/>
  <c r="I101" i="80" s="1"/>
  <c r="G40" i="64"/>
  <c r="G39" i="64"/>
  <c r="E33" i="88"/>
  <c r="I33" i="88"/>
  <c r="I38" i="3" s="1"/>
  <c r="M33" i="88"/>
  <c r="M38" i="3" s="1"/>
  <c r="Q33" i="88"/>
  <c r="Q38" i="3" s="1"/>
  <c r="Q29" i="88"/>
  <c r="Q34" i="3" s="1"/>
  <c r="D29" i="88"/>
  <c r="P29" i="88"/>
  <c r="Q33" i="3" s="1"/>
  <c r="B33" i="88"/>
  <c r="H33" i="88"/>
  <c r="I37" i="3" s="1"/>
  <c r="I29" i="88"/>
  <c r="I34" i="3" s="1"/>
  <c r="F33" i="88"/>
  <c r="I35" i="3" s="1"/>
  <c r="L29" i="88"/>
  <c r="M33" i="3" s="1"/>
  <c r="N33" i="88"/>
  <c r="Q35" i="3" s="1"/>
  <c r="J33" i="88"/>
  <c r="M35" i="3" s="1"/>
  <c r="F29" i="88"/>
  <c r="I31" i="3" s="1"/>
  <c r="B29" i="88"/>
  <c r="P33" i="88"/>
  <c r="Q37" i="3" s="1"/>
  <c r="H29" i="88"/>
  <c r="I33" i="3" s="1"/>
  <c r="N29" i="88"/>
  <c r="Q31" i="3" s="1"/>
  <c r="J29" i="88"/>
  <c r="M31" i="3" s="1"/>
  <c r="M29" i="88"/>
  <c r="M34" i="3" s="1"/>
  <c r="E29" i="88"/>
  <c r="O33" i="88"/>
  <c r="Q36" i="3" s="1"/>
  <c r="K33" i="88"/>
  <c r="M36" i="3" s="1"/>
  <c r="G33" i="88"/>
  <c r="I36" i="3" s="1"/>
  <c r="K40" i="64"/>
  <c r="O38" i="64"/>
  <c r="K38" i="64"/>
  <c r="O40" i="64"/>
  <c r="J53" i="61"/>
  <c r="C51" i="61"/>
  <c r="D51" i="61" s="1"/>
  <c r="J117" i="81"/>
  <c r="K117" i="81" s="1"/>
  <c r="C40" i="64"/>
  <c r="C38" i="64"/>
  <c r="H63" i="80"/>
  <c r="I63" i="80" s="1"/>
  <c r="D95" i="81"/>
  <c r="E95" i="81" s="1"/>
  <c r="I51" i="61"/>
  <c r="I35" i="61" s="1"/>
  <c r="I36" i="61" s="1"/>
  <c r="F53" i="61"/>
  <c r="G51" i="61"/>
  <c r="H51" i="61" s="1"/>
  <c r="H49" i="61"/>
  <c r="H69" i="80"/>
  <c r="I69" i="80" s="1"/>
  <c r="D101" i="81"/>
  <c r="E101" i="81" s="1"/>
  <c r="D117" i="81"/>
  <c r="E117" i="81" s="1"/>
  <c r="H95" i="80"/>
  <c r="I95" i="80" s="1"/>
  <c r="H117" i="80"/>
  <c r="I117" i="80" s="1"/>
  <c r="D111" i="81"/>
  <c r="E111" i="81" s="1"/>
  <c r="D85" i="81"/>
  <c r="E85" i="81" s="1"/>
  <c r="L85" i="81" s="1"/>
  <c r="D79" i="81"/>
  <c r="E79" i="81" s="1"/>
  <c r="L79" i="81" s="1"/>
  <c r="J67" i="61"/>
  <c r="F80" i="61"/>
  <c r="J85" i="81"/>
  <c r="K85" i="81" s="1"/>
  <c r="D85" i="80"/>
  <c r="E85" i="80" s="1"/>
  <c r="J117" i="80"/>
  <c r="K117" i="80" s="1"/>
  <c r="I97" i="80"/>
  <c r="F101" i="81"/>
  <c r="G101" i="81" s="1"/>
  <c r="F69" i="81"/>
  <c r="F70" i="81" s="1"/>
  <c r="I97" i="81"/>
  <c r="D101" i="80"/>
  <c r="E101" i="80" s="1"/>
  <c r="H111" i="80"/>
  <c r="I111" i="80" s="1"/>
  <c r="F95" i="81"/>
  <c r="G95" i="81" s="1"/>
  <c r="D95" i="80"/>
  <c r="E95" i="80" s="1"/>
  <c r="F79" i="81"/>
  <c r="G79" i="81" s="1"/>
  <c r="F111" i="81"/>
  <c r="G111" i="81" s="1"/>
  <c r="E35" i="61"/>
  <c r="E36" i="61" s="1"/>
  <c r="J101" i="81"/>
  <c r="J102" i="81" s="1"/>
  <c r="K102" i="81" s="1"/>
  <c r="J69" i="80"/>
  <c r="J70" i="80" s="1"/>
  <c r="K70" i="80" s="1"/>
  <c r="D96" i="61"/>
  <c r="H79" i="80"/>
  <c r="I79" i="80" s="1"/>
  <c r="D69" i="80"/>
  <c r="E69" i="80" s="1"/>
  <c r="H96" i="61"/>
  <c r="H111" i="81"/>
  <c r="I111" i="81" s="1"/>
  <c r="J63" i="81"/>
  <c r="K63" i="81" s="1"/>
  <c r="G39" i="61"/>
  <c r="G40" i="61" s="1"/>
  <c r="C39" i="61"/>
  <c r="C40" i="61" s="1"/>
  <c r="F69" i="80"/>
  <c r="G69" i="80" s="1"/>
  <c r="H95" i="81"/>
  <c r="I95" i="81" s="1"/>
  <c r="D69" i="81"/>
  <c r="E65" i="81"/>
  <c r="L65" i="81" s="1"/>
  <c r="I39" i="61"/>
  <c r="I40" i="61" s="1"/>
  <c r="J95" i="80"/>
  <c r="K95" i="80" s="1"/>
  <c r="K97" i="80"/>
  <c r="J95" i="81"/>
  <c r="K95" i="81" s="1"/>
  <c r="J96" i="61"/>
  <c r="J111" i="81"/>
  <c r="K111" i="81" s="1"/>
  <c r="F79" i="80"/>
  <c r="G79" i="80" s="1"/>
  <c r="D111" i="80"/>
  <c r="E111" i="80" s="1"/>
  <c r="H79" i="81"/>
  <c r="I79" i="81" s="1"/>
  <c r="J79" i="81"/>
  <c r="J63" i="80"/>
  <c r="K63" i="80" s="1"/>
  <c r="D79" i="80"/>
  <c r="E79" i="80" s="1"/>
  <c r="D63" i="80"/>
  <c r="E63" i="80" s="1"/>
  <c r="E115" i="80"/>
  <c r="D117" i="80"/>
  <c r="E117" i="80" s="1"/>
  <c r="I65" i="81"/>
  <c r="H69" i="81"/>
  <c r="K65" i="81"/>
  <c r="J69" i="81"/>
  <c r="I59" i="81"/>
  <c r="H63" i="81"/>
  <c r="K78" i="80"/>
  <c r="J79" i="80"/>
  <c r="K79" i="80" s="1"/>
  <c r="J85" i="80"/>
  <c r="K85" i="80" s="1"/>
  <c r="K110" i="80"/>
  <c r="J111" i="80"/>
  <c r="F95" i="80"/>
  <c r="G95" i="80" s="1"/>
  <c r="F117" i="80"/>
  <c r="G117" i="80" s="1"/>
  <c r="H85" i="61"/>
  <c r="F101" i="80"/>
  <c r="F111" i="80"/>
  <c r="F56" i="61"/>
  <c r="C32" i="64" l="1"/>
  <c r="C16" i="3" s="1"/>
  <c r="D32" i="64"/>
  <c r="C17" i="3" s="1"/>
  <c r="G41" i="61"/>
  <c r="I41" i="61"/>
  <c r="I37" i="61"/>
  <c r="E84" i="90"/>
  <c r="E78" i="90"/>
  <c r="E82" i="90"/>
  <c r="E83" i="90"/>
  <c r="E77" i="90"/>
  <c r="O33" i="64"/>
  <c r="P16" i="3" s="1"/>
  <c r="B32" i="64"/>
  <c r="H29" i="3"/>
  <c r="P38" i="89"/>
  <c r="L29" i="3" s="1"/>
  <c r="F85" i="90"/>
  <c r="G85" i="90" s="1"/>
  <c r="D24" i="3"/>
  <c r="I101" i="81"/>
  <c r="K49" i="64"/>
  <c r="S49" i="64" s="1"/>
  <c r="F79" i="90"/>
  <c r="G79" i="90" s="1"/>
  <c r="K84" i="90"/>
  <c r="J85" i="90"/>
  <c r="K85" i="90" s="1"/>
  <c r="I115" i="90"/>
  <c r="H117" i="90"/>
  <c r="I117" i="90" s="1"/>
  <c r="J117" i="90"/>
  <c r="K117" i="90" s="1"/>
  <c r="J79" i="90"/>
  <c r="K79" i="90" s="1"/>
  <c r="R49" i="64"/>
  <c r="H111" i="90"/>
  <c r="I111" i="90" s="1"/>
  <c r="J111" i="90"/>
  <c r="K111" i="90" s="1"/>
  <c r="F117" i="90"/>
  <c r="G117" i="90" s="1"/>
  <c r="E75" i="90"/>
  <c r="D79" i="90"/>
  <c r="D85" i="90"/>
  <c r="E81" i="90"/>
  <c r="K113" i="90"/>
  <c r="I81" i="90"/>
  <c r="H85" i="90"/>
  <c r="I85" i="90" s="1"/>
  <c r="I75" i="90"/>
  <c r="H79" i="90"/>
  <c r="I79" i="90" s="1"/>
  <c r="D111" i="90"/>
  <c r="E111" i="90" s="1"/>
  <c r="E107" i="90"/>
  <c r="E113" i="90"/>
  <c r="D117" i="90"/>
  <c r="E117" i="90" s="1"/>
  <c r="F51" i="90"/>
  <c r="F52" i="90" s="1"/>
  <c r="F53" i="90" s="1"/>
  <c r="S33" i="88"/>
  <c r="T36" i="3" s="1"/>
  <c r="E101" i="90"/>
  <c r="D102" i="90"/>
  <c r="J70" i="90"/>
  <c r="K69" i="90"/>
  <c r="I101" i="90"/>
  <c r="H102" i="90"/>
  <c r="G69" i="90"/>
  <c r="F70" i="90"/>
  <c r="E69" i="90"/>
  <c r="D70" i="90"/>
  <c r="I69" i="90"/>
  <c r="H70" i="90"/>
  <c r="K101" i="90"/>
  <c r="J102" i="90"/>
  <c r="G101" i="90"/>
  <c r="F102" i="90"/>
  <c r="R33" i="88"/>
  <c r="T35" i="3" s="1"/>
  <c r="U33" i="88"/>
  <c r="T38" i="3" s="1"/>
  <c r="T33" i="88"/>
  <c r="T37" i="3" s="1"/>
  <c r="I25" i="3"/>
  <c r="V39" i="89"/>
  <c r="T25" i="3" s="1"/>
  <c r="I26" i="3"/>
  <c r="I28" i="3"/>
  <c r="Y39" i="89"/>
  <c r="T28" i="3" s="1"/>
  <c r="I27" i="3"/>
  <c r="X39" i="89"/>
  <c r="T27" i="3" s="1"/>
  <c r="I20" i="3"/>
  <c r="V35" i="89"/>
  <c r="T20" i="3" s="1"/>
  <c r="I24" i="3"/>
  <c r="I23" i="3"/>
  <c r="Y35" i="89"/>
  <c r="T23" i="3" s="1"/>
  <c r="I22" i="3"/>
  <c r="X35" i="89"/>
  <c r="T22" i="3" s="1"/>
  <c r="E38" i="3"/>
  <c r="E31" i="3"/>
  <c r="R29" i="88"/>
  <c r="T31" i="3" s="1"/>
  <c r="E35" i="3"/>
  <c r="E36" i="3"/>
  <c r="E34" i="3"/>
  <c r="U29" i="88"/>
  <c r="T34" i="3" s="1"/>
  <c r="E33" i="3"/>
  <c r="T29" i="88"/>
  <c r="T33" i="3" s="1"/>
  <c r="K29" i="88"/>
  <c r="M32" i="3" s="1"/>
  <c r="M39" i="89"/>
  <c r="M26" i="3" s="1"/>
  <c r="M35" i="89"/>
  <c r="M21" i="3" s="1"/>
  <c r="L21" i="3"/>
  <c r="C29" i="88"/>
  <c r="D32" i="3"/>
  <c r="U35" i="89"/>
  <c r="Q24" i="3" s="1"/>
  <c r="P24" i="3"/>
  <c r="P35" i="89"/>
  <c r="M24" i="3" s="1"/>
  <c r="L24" i="3"/>
  <c r="H35" i="89"/>
  <c r="I33" i="64"/>
  <c r="H18" i="3" s="1"/>
  <c r="G18" i="3"/>
  <c r="E29" i="3"/>
  <c r="U39" i="89"/>
  <c r="Q29" i="3" s="1"/>
  <c r="K33" i="64"/>
  <c r="L16" i="3" s="1"/>
  <c r="H33" i="64"/>
  <c r="O18" i="3"/>
  <c r="K18" i="3"/>
  <c r="E33" i="64"/>
  <c r="H102" i="80"/>
  <c r="I102" i="80" s="1"/>
  <c r="J102" i="80"/>
  <c r="K102" i="80" s="1"/>
  <c r="D99" i="61"/>
  <c r="J99" i="61"/>
  <c r="J70" i="61"/>
  <c r="E41" i="61"/>
  <c r="F35" i="61"/>
  <c r="F36" i="61" s="1"/>
  <c r="C41" i="61"/>
  <c r="E37" i="61"/>
  <c r="H99" i="61"/>
  <c r="H39" i="61"/>
  <c r="H40" i="61" s="1"/>
  <c r="D54" i="61"/>
  <c r="C56" i="61"/>
  <c r="D56" i="61" s="1"/>
  <c r="G33" i="64"/>
  <c r="F33" i="64"/>
  <c r="J33" i="64"/>
  <c r="L15" i="3" s="1"/>
  <c r="P33" i="64"/>
  <c r="P17" i="3" s="1"/>
  <c r="N33" i="64"/>
  <c r="P15" i="3" s="1"/>
  <c r="L33" i="64"/>
  <c r="L17" i="3" s="1"/>
  <c r="I56" i="61"/>
  <c r="J35" i="61" s="1"/>
  <c r="J36" i="61" s="1"/>
  <c r="C35" i="61"/>
  <c r="C36" i="61" s="1"/>
  <c r="J51" i="61"/>
  <c r="G35" i="61"/>
  <c r="G36" i="61" s="1"/>
  <c r="H70" i="80"/>
  <c r="I70" i="80" s="1"/>
  <c r="D51" i="81"/>
  <c r="D52" i="81" s="1"/>
  <c r="D53" i="81" s="1"/>
  <c r="D102" i="81"/>
  <c r="E102" i="81" s="1"/>
  <c r="F39" i="61"/>
  <c r="F40" i="61" s="1"/>
  <c r="D47" i="81"/>
  <c r="D48" i="81" s="1"/>
  <c r="D49" i="81" s="1"/>
  <c r="F102" i="81"/>
  <c r="G51" i="81" s="1"/>
  <c r="G52" i="81" s="1"/>
  <c r="G53" i="81" s="1"/>
  <c r="H35" i="61"/>
  <c r="H36" i="61" s="1"/>
  <c r="G69" i="81"/>
  <c r="D102" i="80"/>
  <c r="E102" i="80" s="1"/>
  <c r="H51" i="80"/>
  <c r="H52" i="80" s="1"/>
  <c r="H53" i="80" s="1"/>
  <c r="D39" i="61"/>
  <c r="D40" i="61" s="1"/>
  <c r="F47" i="81"/>
  <c r="F48" i="81" s="1"/>
  <c r="F49" i="81" s="1"/>
  <c r="K69" i="80"/>
  <c r="F51" i="81"/>
  <c r="F52" i="81" s="1"/>
  <c r="F53" i="81" s="1"/>
  <c r="K101" i="81"/>
  <c r="H47" i="80"/>
  <c r="H48" i="80" s="1"/>
  <c r="H49" i="80" s="1"/>
  <c r="D70" i="80"/>
  <c r="E70" i="80" s="1"/>
  <c r="H51" i="81"/>
  <c r="H52" i="81" s="1"/>
  <c r="H53" i="81" s="1"/>
  <c r="J39" i="61"/>
  <c r="J40" i="61" s="1"/>
  <c r="J47" i="81"/>
  <c r="J48" i="81" s="1"/>
  <c r="J49" i="81" s="1"/>
  <c r="F70" i="80"/>
  <c r="G70" i="80" s="1"/>
  <c r="E69" i="81"/>
  <c r="L69" i="81" s="1"/>
  <c r="D70" i="81"/>
  <c r="J51" i="81"/>
  <c r="J52" i="81" s="1"/>
  <c r="J53" i="81" s="1"/>
  <c r="D51" i="80"/>
  <c r="D52" i="80" s="1"/>
  <c r="D53" i="80" s="1"/>
  <c r="F47" i="80"/>
  <c r="F48" i="80" s="1"/>
  <c r="F49" i="80" s="1"/>
  <c r="K79" i="81"/>
  <c r="K51" i="81"/>
  <c r="K52" i="81" s="1"/>
  <c r="K53" i="81" s="1"/>
  <c r="K47" i="80"/>
  <c r="K48" i="80" s="1"/>
  <c r="K49" i="80" s="1"/>
  <c r="D47" i="80"/>
  <c r="D48" i="80" s="1"/>
  <c r="D49" i="80" s="1"/>
  <c r="I63" i="81"/>
  <c r="H47" i="81"/>
  <c r="H48" i="81" s="1"/>
  <c r="H49" i="81" s="1"/>
  <c r="J47" i="80"/>
  <c r="J48" i="80" s="1"/>
  <c r="J49" i="80" s="1"/>
  <c r="K69" i="81"/>
  <c r="J70" i="81"/>
  <c r="I69" i="81"/>
  <c r="H70" i="81"/>
  <c r="K111" i="80"/>
  <c r="J51" i="80"/>
  <c r="J52" i="80" s="1"/>
  <c r="J53" i="80" s="1"/>
  <c r="G101" i="80"/>
  <c r="F102" i="80"/>
  <c r="I102" i="81"/>
  <c r="I51" i="81"/>
  <c r="I52" i="81" s="1"/>
  <c r="I53" i="81" s="1"/>
  <c r="G70" i="81"/>
  <c r="G47" i="81"/>
  <c r="G48" i="81" s="1"/>
  <c r="G49" i="81" s="1"/>
  <c r="G111" i="80"/>
  <c r="F51" i="80"/>
  <c r="F52" i="80" s="1"/>
  <c r="F53" i="80" s="1"/>
  <c r="C15" i="3" l="1"/>
  <c r="B33" i="64"/>
  <c r="D33" i="64"/>
  <c r="D17" i="3" s="1"/>
  <c r="C33" i="64"/>
  <c r="H11" i="3"/>
  <c r="F37" i="61"/>
  <c r="H41" i="61"/>
  <c r="H37" i="61"/>
  <c r="J41" i="61"/>
  <c r="G37" i="61"/>
  <c r="J37" i="61"/>
  <c r="E85" i="90"/>
  <c r="E79" i="90"/>
  <c r="P39" i="89"/>
  <c r="M29" i="3" s="1"/>
  <c r="J47" i="90"/>
  <c r="J48" i="90" s="1"/>
  <c r="J51" i="90"/>
  <c r="J52" i="90" s="1"/>
  <c r="D51" i="90"/>
  <c r="D52" i="90" s="1"/>
  <c r="D18" i="3"/>
  <c r="F47" i="90"/>
  <c r="F48" i="90" s="1"/>
  <c r="H51" i="90"/>
  <c r="H52" i="90" s="1"/>
  <c r="H47" i="90"/>
  <c r="H48" i="90" s="1"/>
  <c r="H49" i="90" s="1"/>
  <c r="D47" i="90"/>
  <c r="D48" i="90" s="1"/>
  <c r="D49" i="90" s="1"/>
  <c r="W39" i="89"/>
  <c r="T26" i="3" s="1"/>
  <c r="I102" i="90"/>
  <c r="I51" i="90"/>
  <c r="I52" i="90" s="1"/>
  <c r="L13" i="3" s="1"/>
  <c r="G102" i="90"/>
  <c r="G51" i="90"/>
  <c r="G52" i="90" s="1"/>
  <c r="H13" i="3" s="1"/>
  <c r="I70" i="90"/>
  <c r="I47" i="90"/>
  <c r="I48" i="90" s="1"/>
  <c r="L12" i="3" s="1"/>
  <c r="K70" i="90"/>
  <c r="K47" i="90"/>
  <c r="K48" i="90" s="1"/>
  <c r="P12" i="3" s="1"/>
  <c r="E70" i="90"/>
  <c r="E47" i="90"/>
  <c r="E48" i="90" s="1"/>
  <c r="E49" i="90" s="1"/>
  <c r="E102" i="90"/>
  <c r="E51" i="90"/>
  <c r="E52" i="90" s="1"/>
  <c r="G70" i="90"/>
  <c r="G47" i="90"/>
  <c r="G48" i="90" s="1"/>
  <c r="H12" i="3" s="1"/>
  <c r="K102" i="90"/>
  <c r="K51" i="90"/>
  <c r="K52" i="90" s="1"/>
  <c r="K53" i="90" s="1"/>
  <c r="Z35" i="89"/>
  <c r="T24" i="3" s="1"/>
  <c r="I29" i="3"/>
  <c r="I21" i="3"/>
  <c r="W35" i="89"/>
  <c r="T21" i="3" s="1"/>
  <c r="H17" i="3"/>
  <c r="H15" i="3"/>
  <c r="H16" i="3"/>
  <c r="E32" i="3"/>
  <c r="S29" i="88"/>
  <c r="T32" i="3" s="1"/>
  <c r="E24" i="3"/>
  <c r="K41" i="61"/>
  <c r="Q33" i="64"/>
  <c r="P18" i="3" s="1"/>
  <c r="M33" i="64"/>
  <c r="L18" i="3" s="1"/>
  <c r="U49" i="64"/>
  <c r="T49" i="64"/>
  <c r="I51" i="80"/>
  <c r="I52" i="80" s="1"/>
  <c r="I53" i="80" s="1"/>
  <c r="K51" i="80"/>
  <c r="K52" i="80" s="1"/>
  <c r="K53" i="80" s="1"/>
  <c r="C37" i="61"/>
  <c r="D41" i="61"/>
  <c r="F41" i="61"/>
  <c r="D35" i="61"/>
  <c r="D36" i="61" s="1"/>
  <c r="J56" i="61"/>
  <c r="I47" i="80"/>
  <c r="I48" i="80" s="1"/>
  <c r="I49" i="80" s="1"/>
  <c r="E51" i="81"/>
  <c r="E52" i="81" s="1"/>
  <c r="E53" i="81" s="1"/>
  <c r="M53" i="81" s="1"/>
  <c r="G102" i="81"/>
  <c r="E51" i="80"/>
  <c r="E52" i="80" s="1"/>
  <c r="E53" i="80" s="1"/>
  <c r="L53" i="81"/>
  <c r="E47" i="80"/>
  <c r="E48" i="80" s="1"/>
  <c r="E49" i="80" s="1"/>
  <c r="L49" i="81"/>
  <c r="G47" i="80"/>
  <c r="G48" i="80" s="1"/>
  <c r="G49" i="80" s="1"/>
  <c r="E70" i="81"/>
  <c r="E47" i="81"/>
  <c r="E48" i="81" s="1"/>
  <c r="E49" i="81" s="1"/>
  <c r="L49" i="80"/>
  <c r="L53" i="80"/>
  <c r="I47" i="81"/>
  <c r="I48" i="81" s="1"/>
  <c r="I49" i="81" s="1"/>
  <c r="I70" i="81"/>
  <c r="K70" i="81"/>
  <c r="K47" i="81"/>
  <c r="K48" i="81" s="1"/>
  <c r="K49" i="81" s="1"/>
  <c r="G102" i="80"/>
  <c r="G51" i="80"/>
  <c r="G52" i="80" s="1"/>
  <c r="G53" i="80" s="1"/>
  <c r="T33" i="64" l="1"/>
  <c r="T17" i="3" s="1"/>
  <c r="D16" i="3"/>
  <c r="S33" i="64"/>
  <c r="T16" i="3" s="1"/>
  <c r="D15" i="3"/>
  <c r="R33" i="64"/>
  <c r="T15" i="3" s="1"/>
  <c r="D12" i="3"/>
  <c r="K37" i="61"/>
  <c r="D53" i="90"/>
  <c r="E11" i="3" s="1"/>
  <c r="D11" i="3"/>
  <c r="J53" i="90"/>
  <c r="Q11" i="3" s="1"/>
  <c r="P11" i="3"/>
  <c r="L10" i="3"/>
  <c r="P13" i="3"/>
  <c r="J49" i="90"/>
  <c r="Q10" i="3" s="1"/>
  <c r="P10" i="3"/>
  <c r="F49" i="90"/>
  <c r="I10" i="3" s="1"/>
  <c r="H10" i="3"/>
  <c r="H53" i="90"/>
  <c r="M11" i="3" s="1"/>
  <c r="L11" i="3"/>
  <c r="D10" i="3"/>
  <c r="E10" i="3"/>
  <c r="Z39" i="89"/>
  <c r="T29" i="3" s="1"/>
  <c r="T18" i="3"/>
  <c r="M10" i="3"/>
  <c r="G49" i="90"/>
  <c r="G53" i="90"/>
  <c r="E53" i="90"/>
  <c r="E13" i="3" s="1"/>
  <c r="D13" i="3"/>
  <c r="I53" i="90"/>
  <c r="M13" i="3" s="1"/>
  <c r="I49" i="90"/>
  <c r="M12" i="3" s="1"/>
  <c r="K49" i="90"/>
  <c r="Q12" i="3" s="1"/>
  <c r="I11" i="3"/>
  <c r="L41" i="61"/>
  <c r="D37" i="61"/>
  <c r="L37" i="61" s="1"/>
  <c r="M53" i="80"/>
  <c r="Q13" i="3"/>
  <c r="M49" i="80"/>
  <c r="M49" i="81"/>
  <c r="L49" i="90" l="1"/>
  <c r="T10" i="3" s="1"/>
  <c r="L53" i="90"/>
  <c r="T11" i="3" s="1"/>
  <c r="I13" i="3"/>
  <c r="M53" i="90"/>
  <c r="T13" i="3" s="1"/>
  <c r="I12" i="3"/>
  <c r="M49" i="90"/>
  <c r="T12" i="3" s="1"/>
  <c r="E12" i="3"/>
  <c r="C46" i="60"/>
  <c r="C4" i="60"/>
  <c r="N51" i="88"/>
  <c r="J51" i="88"/>
  <c r="F51" i="88"/>
  <c r="B51" i="88"/>
  <c r="N46" i="88"/>
  <c r="J46" i="88"/>
  <c r="F46" i="88"/>
  <c r="B46" i="88"/>
  <c r="N45" i="88"/>
  <c r="J45" i="88"/>
  <c r="F45" i="88"/>
  <c r="B45" i="88"/>
  <c r="N44" i="88"/>
  <c r="J44" i="88"/>
  <c r="F44" i="88"/>
  <c r="B44" i="88"/>
  <c r="C23" i="88"/>
  <c r="B2" i="88"/>
  <c r="Q75" i="89"/>
  <c r="L75" i="89"/>
  <c r="G75" i="89"/>
  <c r="B75" i="89"/>
  <c r="Q70" i="89"/>
  <c r="L70" i="89"/>
  <c r="G70" i="89"/>
  <c r="B70" i="89"/>
  <c r="Q69" i="89"/>
  <c r="L69" i="89"/>
  <c r="G69" i="89"/>
  <c r="B69" i="89"/>
  <c r="Q68" i="89"/>
  <c r="L68" i="89"/>
  <c r="G68" i="89"/>
  <c r="B68" i="89"/>
  <c r="Q57" i="89"/>
  <c r="L57" i="89"/>
  <c r="G57" i="89"/>
  <c r="B57" i="89"/>
  <c r="Q52" i="89"/>
  <c r="L52" i="89"/>
  <c r="G52" i="89"/>
  <c r="B52" i="89"/>
  <c r="Q51" i="89"/>
  <c r="L51" i="89"/>
  <c r="G51" i="89"/>
  <c r="B51" i="89"/>
  <c r="Q50" i="89"/>
  <c r="L50" i="89"/>
  <c r="G50" i="89"/>
  <c r="B50" i="89"/>
  <c r="D28" i="89"/>
  <c r="D27" i="89"/>
  <c r="B2" i="89"/>
  <c r="E16" i="56"/>
  <c r="A1" i="71"/>
  <c r="A76" i="74"/>
  <c r="B46" i="74"/>
  <c r="A33" i="74"/>
  <c r="B13" i="74"/>
  <c r="D10" i="74"/>
  <c r="Q48" i="64"/>
  <c r="P48" i="64"/>
  <c r="O48" i="64"/>
  <c r="N48" i="64"/>
  <c r="M48" i="64"/>
  <c r="L48" i="64"/>
  <c r="K48" i="64"/>
  <c r="J48" i="64"/>
  <c r="I48" i="64"/>
  <c r="H48" i="64"/>
  <c r="G48" i="64"/>
  <c r="F48" i="64"/>
  <c r="E48" i="64"/>
  <c r="D48" i="64"/>
  <c r="C48" i="64"/>
  <c r="B48" i="64"/>
  <c r="N42" i="64"/>
  <c r="J42" i="64"/>
  <c r="F42" i="64"/>
  <c r="B42" i="64"/>
  <c r="N41" i="64"/>
  <c r="J41" i="64"/>
  <c r="F41" i="64"/>
  <c r="B41" i="64"/>
  <c r="V31" i="64"/>
  <c r="Q31" i="64"/>
  <c r="P31" i="64"/>
  <c r="O31" i="64"/>
  <c r="N31" i="64"/>
  <c r="M31" i="64"/>
  <c r="L31" i="64"/>
  <c r="K31" i="64"/>
  <c r="J31" i="64"/>
  <c r="I31" i="64"/>
  <c r="H31" i="64"/>
  <c r="G31" i="64"/>
  <c r="F31" i="64"/>
  <c r="E31" i="64"/>
  <c r="D31" i="64"/>
  <c r="C31" i="64"/>
  <c r="B31" i="64"/>
  <c r="B23" i="64"/>
  <c r="B22" i="64"/>
  <c r="D23" i="61"/>
  <c r="G23" i="90"/>
  <c r="F23" i="90"/>
  <c r="G21" i="90"/>
  <c r="F21" i="90"/>
  <c r="G20" i="90"/>
  <c r="F20" i="90"/>
  <c r="G18" i="90"/>
  <c r="F18" i="90"/>
  <c r="G17" i="90"/>
  <c r="J3" i="90"/>
  <c r="H3" i="90"/>
  <c r="F3" i="90"/>
  <c r="L4" i="3"/>
  <c r="H7" i="2"/>
  <c r="H6"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extera</author>
  </authors>
  <commentList>
    <comment ref="D41" authorId="0" shapeId="0" xr:uid="{A0B0A8E2-59A8-4737-A5AA-4B76729F36BD}">
      <text>
        <r>
          <rPr>
            <b/>
            <sz val="9"/>
            <color indexed="81"/>
            <rFont val="Segoe UI"/>
            <family val="2"/>
          </rPr>
          <t>Head PPE can only be selected after gloves are selected</t>
        </r>
        <r>
          <rPr>
            <sz val="9"/>
            <color indexed="81"/>
            <rFont val="Segoe UI"/>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O234" authorId="0" shapeId="0" xr:uid="{E32249E1-9A46-4832-82C9-92D67A641616}">
      <text>
        <r>
          <rPr>
            <b/>
            <sz val="9"/>
            <color rgb="FF000000"/>
            <rFont val="Tahoma"/>
            <family val="2"/>
            <charset val="1"/>
          </rPr>
          <t>in Publication - instead of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tc={7101BFE0-4E12-4D09-B174-353A29137856}</author>
    <author>tc={63C98F37-F88F-48D1-8E90-2623713E8437}</author>
  </authors>
  <commentList>
    <comment ref="B82" authorId="0" shapeId="0" xr:uid="{7101BFE0-4E12-4D09-B174-353A29137856}">
      <text>
        <t>[Threaded comment]
Your version of Excel allows you to read this threaded comment; however, any edits to it will get removed if the file is opened in a newer version of Excel. Learn more: https://go.microsoft.com/fwlink/?linkid=870924
Comment:
    95th percentile for field crops</t>
      </text>
    </comment>
    <comment ref="C82" authorId="1" shapeId="0" xr:uid="{63C98F37-F88F-48D1-8E90-2623713E8437}">
      <text>
        <t>[Threaded comment]
Your version of Excel allows you to read this threaded comment; however, any edits to it will get removed if the file is opened in a newer version of Excel. Learn more: https://go.microsoft.com/fwlink/?linkid=870924
Comment:
    75th percentile for field crops</t>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Volker Mostert</author>
  </authors>
  <commentList>
    <comment ref="E5" authorId="0" shapeId="0" xr:uid="{1269B3EA-037C-4357-B3F4-FD11B71F90F7}">
      <text>
        <r>
          <rPr>
            <b/>
            <sz val="9"/>
            <color indexed="81"/>
            <rFont val="Segoe UI"/>
            <family val="2"/>
          </rPr>
          <t>Default is "Yes", can be "No" for bare soil scenarios</t>
        </r>
        <r>
          <rPr>
            <sz val="9"/>
            <color indexed="81"/>
            <rFont val="Segoe UI"/>
            <family val="2"/>
          </rPr>
          <t xml:space="preserve">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Volker Mostert</author>
  </authors>
  <commentList>
    <comment ref="E5" authorId="0" shapeId="0" xr:uid="{D1B9A2E8-B6D0-434F-9ACB-0A7897DF8C11}">
      <text>
        <r>
          <rPr>
            <b/>
            <sz val="9"/>
            <color indexed="81"/>
            <rFont val="Segoe UI"/>
            <family val="2"/>
          </rPr>
          <t>Default is "Yes", can be "No" for bare soil scenarios</t>
        </r>
        <r>
          <rPr>
            <sz val="9"/>
            <color indexed="81"/>
            <rFont val="Segoe UI"/>
            <family val="2"/>
          </rPr>
          <t xml:space="preserve">
</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6D34EFAA-85BA-4892-86A4-78062C00594F}" keepAlive="1" name="Abfrage - cropsEquipment" description="Verbindung mit der Abfrage 'cropsEquipment' in der Arbeitsmappe." type="5" refreshedVersion="8" background="1" saveData="1">
    <dbPr connection="Provider=Microsoft.Mashup.OleDb.1;Data Source=$Workbook$;Location=cropsEquipment;Extended Properties=&quot;&quot;" command="SELECT * FROM [cropsEquipment]"/>
  </connection>
  <connection id="2" xr16:uid="{A5F10EF4-7E76-4249-92F4-6A63C19AD680}" keepAlive="1" name="Abfrage - cropsExamples" description="Verbindung mit der Abfrage 'cropsExamples' in der Arbeitsmappe." type="5" refreshedVersion="8" background="1" saveData="1">
    <dbPr connection="Provider=Microsoft.Mashup.OleDb.1;Data Source=$Workbook$;Location=cropsExamples;Extended Properties=&quot;&quot;" command="SELECT * FROM [cropsExamples]"/>
  </connection>
  <connection id="3" xr16:uid="{96409C22-95CC-432B-B39A-57846336B57D}" keepAlive="1" name="Abfrage - cropsWorker" description="Verbindung mit der Abfrage 'cropsWorker' in der Arbeitsmappe." type="5" refreshedVersion="8" background="1" saveData="1">
    <dbPr connection="Provider=Microsoft.Mashup.OleDb.1;Data Source=$Workbook$;Location=cropsWorker;Extended Properties=&quot;&quot;" command="SELECT * FROM [cropsWorker]"/>
  </connection>
  <connection id="4" xr16:uid="{2503F048-D100-4491-ACC1-2829038CDC98}" keepAlive="1" name="Abfrage - cropsWorker (2)" description="Verbindung mit der Abfrage 'cropsWorker (2)' in der Arbeitsmappe." type="5" refreshedVersion="8" background="1" saveData="1">
    <dbPr connection="Provider=Microsoft.Mashup.OleDb.1;Data Source=$Workbook$;Location=&quot;cropsWorker (2)&quot;;Extended Properties=&quot;&quot;" command="SELECT * FROM [cropsWorker (2)]"/>
  </connection>
  <connection id="5" xr16:uid="{AFA60760-2D08-4D28-B237-9AAA23FFE3B7}" keepAlive="1" name="Abfrage - cropsWorker (3)" description="Verbindung mit der Abfrage 'cropsWorker (3)' in der Arbeitsmappe." type="5" refreshedVersion="8" background="1" saveData="1">
    <dbPr connection="Provider=Microsoft.Mashup.OleDb.1;Data Source=$Workbook$;Location=&quot;cropsWorker (3)&quot;;Extended Properties=&quot;&quot;" command="SELECT * FROM [cropsWorker (3)]"/>
  </connection>
  <connection id="6" xr16:uid="{9E9B35F5-7DDD-4801-B8EE-C090F28D28EB}" keepAlive="1" name="Abfrage - cropsWorker (4)" description="Verbindung mit der Abfrage 'cropsWorker (4)' in der Arbeitsmappe." type="5" refreshedVersion="8" background="1" saveData="1">
    <dbPr connection="Provider=Microsoft.Mashup.OleDb.1;Data Source=$Workbook$;Location=&quot;cropsWorker (4)&quot;;Extended Properties=&quot;&quot;" command="SELECT * FROM [cropsWorker (4)]"/>
  </connection>
  <connection id="7" xr16:uid="{526E8CBC-4991-4A27-B5DD-9DF5C81684E9}" keepAlive="1" name="Abfrage - cropsWorker (5)" description="Verbindung mit der Abfrage 'cropsWorker (5)' in der Arbeitsmappe." type="5" refreshedVersion="8" background="1" saveData="1">
    <dbPr connection="Provider=Microsoft.Mashup.OleDb.1;Data Source=$Workbook$;Location=&quot;cropsWorker (5)&quot;;Extended Properties=&quot;&quot;" command="SELECT * FROM [cropsWorker (5)]"/>
  </connection>
  <connection id="8" xr16:uid="{865F542F-F2A5-4A11-9901-1A315E71F715}" keepAlive="1" name="Abfrage - default" description="Verbindung mit der Abfrage 'default' in der Arbeitsmappe." type="5" refreshedVersion="8" background="1" saveData="1">
    <dbPr connection="Provider=Microsoft.Mashup.OleDb.1;Data Source=$Workbook$;Location=default;Extended Properties=&quot;&quot;" command="SELECT * FROM [default]"/>
  </connection>
  <connection id="9" xr16:uid="{47087BDA-A115-4E38-ABA2-78D2B60CA7E7}" keepAlive="1" name="Abfrage - default (2)" description="Verbindung mit der Abfrage 'default (2)' in der Arbeitsmappe." type="5" refreshedVersion="8" background="1" saveData="1">
    <dbPr connection="Provider=Microsoft.Mashup.OleDb.1;Data Source=$Workbook$;Location=&quot;default (2)&quot;;Extended Properties=&quot;&quot;" command="SELECT * FROM [default (2)]"/>
  </connection>
  <connection id="10" xr16:uid="{F4649AAA-B3AC-4C97-9272-399F3F22B268}" keepAlive="1" name="Abfrage - default (3)" description="Verbindung mit der Abfrage 'default (3)' in der Arbeitsmappe." type="5" refreshedVersion="8" background="1" saveData="1">
    <dbPr connection="Provider=Microsoft.Mashup.OleDb.1;Data Source=$Workbook$;Location=&quot;default (3)&quot;;Extended Properties=&quot;&quot;" command="SELECT * FROM [default (3)]"/>
  </connection>
  <connection id="11" xr16:uid="{ED3FFF6D-74A5-4B5E-9A30-4819C20E8257}" keepAlive="1" name="Abfrage - example_absorption" description="Verbindung mit der Abfrage 'example_absorption' in der Arbeitsmappe." type="5" refreshedVersion="8" background="1" saveData="1">
    <dbPr connection="Provider=Microsoft.Mashup.OleDb.1;Data Source=$Workbook$;Location=example_absorption;Extended Properties=&quot;&quot;" command="SELECT * FROM [example_absorption]"/>
  </connection>
  <connection id="12" xr16:uid="{EE15DC7F-51C5-4BC2-B989-FF41DD690138}" keepAlive="1" name="Abfrage - example_crop" description="Verbindung mit der Abfrage 'example_crop' in der Arbeitsmappe." type="5" refreshedVersion="8" background="1" saveData="1">
    <dbPr connection="Provider=Microsoft.Mashup.OleDb.1;Data Source=$Workbook$;Location=example_crop;Extended Properties=&quot;&quot;" command="SELECT * FROM [example_crop]"/>
  </connection>
  <connection id="13" xr16:uid="{43F1B118-53D0-4C32-B9D0-0873EA9C31EE}" keepAlive="1" name="Abfrage - example_product" description="Verbindung mit der Abfrage 'example_product' in der Arbeitsmappe." type="5" refreshedVersion="8" background="1" saveData="1">
    <dbPr connection="Provider=Microsoft.Mashup.OleDb.1;Data Source=$Workbook$;Location=example_product;Extended Properties=&quot;&quot;" command="SELECT * FROM [example_product]"/>
  </connection>
  <connection id="14" xr16:uid="{14178871-C1CF-4AC0-A335-987B4B5FB27D}" keepAlive="1" name="Abfrage - example_substance" description="Verbindung mit der Abfrage 'example_substance' in der Arbeitsmappe." type="5" refreshedVersion="8" background="1" saveData="1">
    <dbPr connection="Provider=Microsoft.Mashup.OleDb.1;Data Source=$Workbook$;Location=example_substance;Extended Properties=&quot;&quot;" command="SELECT * FROM [example_substance]"/>
  </connection>
  <connection id="15" xr16:uid="{CBD7CDDE-2432-44AE-BB1C-A6B16FF4E0E5}" keepAlive="1" name="Abfrage - opex_AOEM75_hm" description="Verbindung mit der Abfrage 'opex_AOEM75_hm' in der Arbeitsmappe." type="5" refreshedVersion="8" background="1" saveData="1">
    <dbPr connection="Provider=Microsoft.Mashup.OleDb.1;Data Source=$Workbook$;Location=opex_AOEM75_hm;Extended Properties=&quot;&quot;" command="SELECT * FROM [opex_AOEM75_hm]"/>
  </connection>
  <connection id="16" xr16:uid="{D9541906-3904-4425-95D8-931BCF898F38}" keepAlive="1" name="Abfrage - opex_AOEM75_hm (2)" description="Verbindung mit der Abfrage 'opex_AOEM75_hm (2)' in der Arbeitsmappe." type="5" refreshedVersion="8" background="1" saveData="1">
    <dbPr connection="Provider=Microsoft.Mashup.OleDb.1;Data Source=$Workbook$;Location=&quot;opex_AOEM75_hm (2)&quot;;Extended Properties=&quot;&quot;" command="SELECT * FROM [opex_AOEM75_hm (2)]"/>
  </connection>
  <connection id="17" xr16:uid="{6379BC89-4834-4D12-B1AE-831BA950FF9D}" keepAlive="1" name="Abfrage - opex_AOEM75_hm (3)" description="Verbindung mit der Abfrage 'opex_AOEM75_hm (3)' in der Arbeitsmappe." type="5" refreshedVersion="8" background="1" saveData="1">
    <dbPr connection="Provider=Microsoft.Mashup.OleDb.1;Data Source=$Workbook$;Location=&quot;opex_AOEM75_hm (3)&quot;;Extended Properties=&quot;&quot;" command="SELECT * FROM [opex_AOEM75_hm (3)]"/>
  </connection>
  <connection id="18" xr16:uid="{E0E797EA-027B-4529-8BE8-8A76B01FD787}" keepAlive="1" name="Abfrage - opex_AOEM75_hm (4)" description="Verbindung mit der Abfrage 'opex_AOEM75_hm (4)' in der Arbeitsmappe." type="5" refreshedVersion="8" background="1" saveData="1">
    <dbPr connection="Provider=Microsoft.Mashup.OleDb.1;Data Source=$Workbook$;Location=&quot;opex_AOEM75_hm (4)&quot;;Extended Properties=&quot;&quot;" command="SELECT * FROM [opex_AOEM75_hm (4)]"/>
  </connection>
  <connection id="19" xr16:uid="{B7EAF63E-BDB6-4BC7-9B84-D4E2BD8292E5}" keepAlive="1" name="Abfrage - opex_AOEM95_hm" description="Verbindung mit der Abfrage 'opex_AOEM95_hm' in der Arbeitsmappe." type="5" refreshedVersion="8" background="1" saveData="1">
    <dbPr connection="Provider=Microsoft.Mashup.OleDb.1;Data Source=$Workbook$;Location=opex_AOEM95_hm;Extended Properties=&quot;&quot;" command="SELECT * FROM [opex_AOEM95_hm]"/>
  </connection>
  <connection id="20" xr16:uid="{4ED520BF-DA5B-4806-9FC0-3A1DD0388505}" keepAlive="1" name="Abfrage - opex_indoor75_hm" description="Verbindung mit der Abfrage 'opex_indoor75_hm' in der Arbeitsmappe." type="5" refreshedVersion="8" background="1" saveData="1">
    <dbPr connection="Provider=Microsoft.Mashup.OleDb.1;Data Source=$Workbook$;Location=opex_indoor75_hm;Extended Properties=&quot;&quot;" command="SELECT * FROM [opex_indoor75_hm]"/>
  </connection>
  <connection id="21" xr16:uid="{94C75C92-72CC-4353-9C30-FDB9B3795A10}" keepAlive="1" name="Abfrage - opex_indoor75_hm (2)" description="Verbindung mit der Abfrage 'opex_indoor75_hm (2)' in der Arbeitsmappe." type="5" refreshedVersion="8" background="1" saveData="1">
    <dbPr connection="Provider=Microsoft.Mashup.OleDb.1;Data Source=$Workbook$;Location=&quot;opex_indoor75_hm (2)&quot;;Extended Properties=&quot;&quot;" command="SELECT * FROM [opex_indoor75_hm (2)]"/>
  </connection>
  <connection id="22" xr16:uid="{E02471AF-E0AD-464A-B681-78170BB65C6F}" keepAlive="1" name="Abfrage - opex_indoor95_hm" description="Verbindung mit der Abfrage 'opex_indoor95_hm' in der Arbeitsmappe." type="5" refreshedVersion="8" background="1" saveData="1">
    <dbPr connection="Provider=Microsoft.Mashup.OleDb.1;Data Source=$Workbook$;Location=opex_indoor95_hm;Extended Properties=&quot;&quot;" command="SELECT * FROM [opex_indoor95_hm]"/>
  </connection>
  <connection id="23" xr16:uid="{A227E795-3D95-4264-89AC-3CE5EB7539D9}" keepAlive="1" name="Abfrage - opex_indoor95_hm (2)" description="Verbindung mit der Abfrage 'opex_indoor95_hm (2)' in der Arbeitsmappe." type="5" refreshedVersion="8" background="1" saveData="1">
    <dbPr connection="Provider=Microsoft.Mashup.OleDb.1;Data Source=$Workbook$;Location=&quot;opex_indoor95_hm (2)&quot;;Extended Properties=&quot;&quot;" command="SELECT * FROM [opex_indoor95_hm (2)]"/>
  </connection>
  <connection id="24" xr16:uid="{B55F8D96-45CB-4B9D-979F-1B584473227C}" keepAlive="1" name="Abfrage - opex_other" description="Verbindung mit der Abfrage 'opex_other' in der Arbeitsmappe." type="5" refreshedVersion="8" background="1" saveData="1">
    <dbPr connection="Provider=Microsoft.Mashup.OleDb.1;Data Source=$Workbook$;Location=opex_other;Extended Properties=&quot;&quot;" command="SELECT * FROM [opex_other]"/>
  </connection>
  <connection id="25" xr16:uid="{C7F4B008-C8A3-43ED-9F3A-FD1835D0F1C3}" keepAlive="1" name="Abfrage - protection" description="Verbindung mit der Abfrage 'protection' in der Arbeitsmappe." type="5" refreshedVersion="8" background="1" saveData="1">
    <dbPr connection="Provider=Microsoft.Mashup.OleDb.1;Data Source=$Workbook$;Location=protection;Extended Properties=&quot;&quot;" command="SELECT * FROM [protection]"/>
  </connection>
  <connection id="26" xr16:uid="{6F4EF356-FB39-4FA3-BF8C-7A46041DA529}" keepAlive="1" name="Abfrage - simpleProtection" description="Verbindung mit der Abfrage 'simpleProtection' in der Arbeitsmappe." type="5" refreshedVersion="8" background="1" saveData="1">
    <dbPr connection="Provider=Microsoft.Mashup.OleDb.1;Data Source=$Workbook$;Location=simpleProtection;Extended Properties=&quot;&quot;" command="SELECT * FROM [simpleProtection]"/>
  </connection>
  <connection id="27" xr16:uid="{D69A9662-36B7-4EC7-9AF6-AAC33ADF8DA5}" keepAlive="1" name="Abfrage - smallTables" description="Verbindung mit der Abfrage 'smallTables' in der Arbeitsmappe." type="5" refreshedVersion="8" background="1" saveData="1">
    <dbPr connection="Provider=Microsoft.Mashup.OleDb.1;Data Source=$Workbook$;Location=smallTables;Extended Properties=&quot;&quot;" command="SELECT * FROM [smallTables]"/>
  </connection>
  <connection id="28" xr16:uid="{8B993ADF-89CB-4B10-859C-4CC370EB82D3}" keepAlive="1" name="Abfrage - test_absorption" description="Verbindung mit der Abfrage 'test_absorption' in der Arbeitsmappe." type="5" refreshedVersion="8" background="1" saveData="1">
    <dbPr connection="Provider=Microsoft.Mashup.OleDb.1;Data Source=$Workbook$;Location=test_absorption;Extended Properties=&quot;&quot;" command="SELECT * FROM [test_absorption]"/>
  </connection>
  <connection id="29" xr16:uid="{912D25C9-F50B-4B39-A157-1AA0D366C1E8}" keepAlive="1" name="Abfrage - test_crop" description="Verbindung mit der Abfrage 'test_crop' in der Arbeitsmappe." type="5" refreshedVersion="8" background="1" saveData="1">
    <dbPr connection="Provider=Microsoft.Mashup.OleDb.1;Data Source=$Workbook$;Location=test_crop;Extended Properties=&quot;&quot;" command="SELECT * FROM [test_crop]"/>
  </connection>
  <connection id="30" xr16:uid="{80206FA6-32D5-41E9-B9E1-CF515C5AA758}" keepAlive="1" name="Abfrage - test_product" description="Verbindung mit der Abfrage 'test_product' in der Arbeitsmappe." type="5" refreshedVersion="8" background="1" saveData="1">
    <dbPr connection="Provider=Microsoft.Mashup.OleDb.1;Data Source=$Workbook$;Location=test_product;Extended Properties=&quot;&quot;" command="SELECT * FROM [test_product]"/>
  </connection>
  <connection id="31" xr16:uid="{FC0695FA-429B-4EAB-BA23-C791AAF016C5}" keepAlive="1" name="Abfrage - test_substance" description="Verbindung mit der Abfrage 'test_substance' in der Arbeitsmappe." type="5" refreshedVersion="8" background="1" saveData="1">
    <dbPr connection="Provider=Microsoft.Mashup.OleDb.1;Data Source=$Workbook$;Location=test_substance;Extended Properties=&quot;&quot;" command="SELECT * FROM [test_substance]"/>
  </connection>
</connection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<sst xmlns="http://schemas.openxmlformats.org/spreadsheetml/2006/main" count="6670" uniqueCount="957">
  <si>
    <t>DISCLAIMER: Croplife Europe (CLE) is making the tool available for risk assessors of plant protection products to aid them in the exposure and risk assessment of substances used in plant protection products in the context of plant protection products regulation (PPPR) according to EFSA exposure guidance 2022.
The tool has been subjected to thorough testing; however, CLE does not guarantee that the tool works error-free. CLE offers no warranty either to the reliability of the tool and the provided information or to the conclusions or assumptions made by any user on the basis of the use of this tool or the use of such information or to the regulatory acceptance of the assessments conducted using the tool. All usage is at the discretion of the user and CLE is not liable for any consequences resulting from such use.
Before using this calculator, the user should make sure that the latest version is being used.</t>
  </si>
  <si>
    <t>Instructions for using the workbook</t>
  </si>
  <si>
    <r>
      <rPr>
        <sz val="11"/>
        <color rgb="FF000000"/>
        <rFont val="Calibri"/>
        <family val="2"/>
        <charset val="1"/>
      </rPr>
      <t>The information required for the exposure assessment needs to be entered in the worksheet "</t>
    </r>
    <r>
      <rPr>
        <b/>
        <sz val="11"/>
        <color rgb="FF000000"/>
        <rFont val="Calibri"/>
        <family val="2"/>
        <charset val="1"/>
      </rPr>
      <t>Data entry</t>
    </r>
    <r>
      <rPr>
        <sz val="11"/>
        <color rgb="FF000000"/>
        <rFont val="Calibri"/>
        <family val="2"/>
        <charset val="1"/>
      </rPr>
      <t>".</t>
    </r>
  </si>
  <si>
    <t>In the following worksheets formulas calculate the exposure values automatically</t>
  </si>
  <si>
    <r>
      <t>Worksheet "</t>
    </r>
    <r>
      <rPr>
        <b/>
        <sz val="11"/>
        <color rgb="FF000000"/>
        <rFont val="Calibri"/>
        <family val="2"/>
        <charset val="1"/>
      </rPr>
      <t>Operator Spray</t>
    </r>
    <r>
      <rPr>
        <sz val="11"/>
        <color rgb="FF000000"/>
        <rFont val="Calibri"/>
        <family val="2"/>
        <charset val="1"/>
      </rPr>
      <t>" is for spray applications. PPE options can be selected in this worksheet</t>
    </r>
  </si>
  <si>
    <r>
      <rPr>
        <sz val="11"/>
        <color rgb="FF000000"/>
        <rFont val="Calibri"/>
        <family val="2"/>
        <charset val="1"/>
      </rPr>
      <t>Worksheet "</t>
    </r>
    <r>
      <rPr>
        <b/>
        <sz val="11"/>
        <color rgb="FF000000"/>
        <rFont val="Calibri"/>
        <family val="2"/>
        <charset val="1"/>
      </rPr>
      <t>Operator Granules</t>
    </r>
    <r>
      <rPr>
        <sz val="11"/>
        <color rgb="FF000000"/>
        <rFont val="Calibri"/>
        <family val="2"/>
        <charset val="1"/>
      </rPr>
      <t>" is for granular applications. Currently the calculator does not allow operator exposure for indoor applications. PPE options can be selected in this worksheet</t>
    </r>
  </si>
  <si>
    <r>
      <t>Worksheet "</t>
    </r>
    <r>
      <rPr>
        <b/>
        <sz val="11"/>
        <color rgb="FF000000"/>
        <rFont val="Calibri"/>
        <family val="2"/>
        <charset val="1"/>
      </rPr>
      <t>Recreational Exposure</t>
    </r>
    <r>
      <rPr>
        <sz val="11"/>
        <color rgb="FF000000"/>
        <rFont val="Calibri"/>
        <family val="2"/>
        <charset val="1"/>
      </rPr>
      <t>" is only applicable for amenity grassland areas where members of the public are likely to have access</t>
    </r>
  </si>
  <si>
    <r>
      <rPr>
        <sz val="11"/>
        <color rgb="FF000000"/>
        <rFont val="Calibri"/>
        <family val="2"/>
        <charset val="1"/>
      </rPr>
      <t>The combined results of the exposure assessment are presented in worksheet "</t>
    </r>
    <r>
      <rPr>
        <b/>
        <sz val="11"/>
        <color rgb="FF000000"/>
        <rFont val="Calibri"/>
        <family val="2"/>
        <charset val="1"/>
      </rPr>
      <t>Summary</t>
    </r>
    <r>
      <rPr>
        <sz val="11"/>
        <color rgb="FF000000"/>
        <rFont val="Calibri"/>
        <family val="2"/>
        <charset val="1"/>
      </rPr>
      <t>"</t>
    </r>
  </si>
  <si>
    <r>
      <rPr>
        <sz val="11"/>
        <color rgb="FF000000"/>
        <rFont val="Calibri"/>
        <family val="2"/>
        <charset val="1"/>
      </rPr>
      <t xml:space="preserve">This calculator should be used in conjuction with the </t>
    </r>
    <r>
      <rPr>
        <b/>
        <sz val="11"/>
        <color rgb="FF000000"/>
        <rFont val="Calibri"/>
        <family val="2"/>
        <charset val="1"/>
      </rPr>
      <t>Guidance on the Assessment of Exposure for Operators, Workers, Residents and Bystanders in Risk Assessment for Plant Protection Products</t>
    </r>
  </si>
  <si>
    <r>
      <t xml:space="preserve">EFSA (European Food Safety Authority), Charistou A, Coja T, Craig P, Hamey P, Martin S, Sanvido O, Chiusolo A, Colas M and Istace F, 2022. Guidance on the assessment of exposure of operators, workers, residents and bystanders in risk assessment of plant protection products. </t>
    </r>
    <r>
      <rPr>
        <i/>
        <sz val="11"/>
        <color rgb="FF000000"/>
        <rFont val="Calibri"/>
        <family val="2"/>
      </rPr>
      <t>EFSA Journal</t>
    </r>
    <r>
      <rPr>
        <sz val="11"/>
        <color rgb="FF000000"/>
        <rFont val="Calibri"/>
        <family val="2"/>
        <charset val="1"/>
      </rPr>
      <t xml:space="preserve"> 2022; </t>
    </r>
    <r>
      <rPr>
        <b/>
        <sz val="11"/>
        <color rgb="FF000000"/>
        <rFont val="Calibri"/>
        <family val="2"/>
      </rPr>
      <t>20</t>
    </r>
    <r>
      <rPr>
        <sz val="11"/>
        <color rgb="FF000000"/>
        <rFont val="Calibri"/>
        <family val="2"/>
        <charset val="1"/>
      </rPr>
      <t>(1):7032, 134 pp. https://doi.org/10.2903/j.efsa.2022.7032</t>
    </r>
  </si>
  <si>
    <t>Version history:</t>
  </si>
  <si>
    <t>v1.7: 29 September 2026</t>
  </si>
  <si>
    <r>
      <t xml:space="preserve">- ALERT: for indoor dense cultures w/ rainsuits, EFSA OPEX applies the respective extrapolation threshold d_PctExtrapolationIndoorDenseRain = 0.086 kg only to “Protected body”, and not to hands, head, or inhalation. 
</t>
    </r>
    <r>
      <rPr>
        <b/>
        <sz val="11"/>
        <color rgb="FF000000"/>
        <rFont val="Calibri"/>
        <family val="2"/>
      </rPr>
      <t>This is not correct and leads to a discrepancy with this version of the CLE Calculator</t>
    </r>
  </si>
  <si>
    <t>- FIX: RPE choices for operators are now correctly displayed on the 'Summary' sheet</t>
  </si>
  <si>
    <t>- FIX: no RPE can be selected in the presence of faceshield</t>
  </si>
  <si>
    <t>- FIX: no Head PPE can be selected for spray applications without first selecting gloves</t>
  </si>
  <si>
    <t>- FIX: corrected protection by head PPE during M&amp;L</t>
  </si>
  <si>
    <t>- FIX: allowing Re-entry TSF 'N/A' for scenario "bare arable land, indoors"</t>
  </si>
  <si>
    <t xml:space="preserve">- FIX: corrected parameter for 75th percentile head exposure from high knapsack spraying </t>
  </si>
  <si>
    <t>- ADD: display CLE version on disclaimer sheet</t>
  </si>
  <si>
    <t>- CHANGE: in analogy to EFSA OPEX, child resident/bystander scenarios are now reported above adult results</t>
  </si>
  <si>
    <t>- CHANGE: in analogy to EFSA OPEX, MAF values are rounded to two decimals for calculation of re-entry exposure of workers and children</t>
  </si>
  <si>
    <t>v1.6: 08 July 2025</t>
  </si>
  <si>
    <t>- FIX: users are notified if they enter dermal absorption values exceeding the EFSA defaults for the respective a.s. concentration in undiluted PPP</t>
  </si>
  <si>
    <t>- FIX: worker scenario for "low berries, outdoor" corrected</t>
  </si>
  <si>
    <t>v1.5: 08 April 2025 (matching EFSA opex 1.1.1)</t>
  </si>
  <si>
    <t>- FIX: Worker activity "maintenance/thinning" added for strawberry (indoors)</t>
  </si>
  <si>
    <t>- FIX: surface deposits (bystanders/residents) for high vegetables, high ornamentals, cane fruit (indoor), and strawberry (indoor) calculated using values for grapes</t>
  </si>
  <si>
    <t>- FIX: incorrect calculation of resident mean re-entry exposure corrected</t>
  </si>
  <si>
    <t>- FIX: incorrect operator spray parameters for SC products and trolley applications were corrected</t>
  </si>
  <si>
    <t>- FEATURE: option to choose product category "herbicide" or "other"; only downward spraying can be selected for herbicides</t>
  </si>
  <si>
    <t>- FEATURE: option to choose re-entry activity TSF for indoor applications</t>
  </si>
  <si>
    <t>- Already implemented: Calculate vapour concentration based on SVC when pressure &gt; 0.01 instead of &gt; 0.1 Pa</t>
  </si>
  <si>
    <t>- FEATURE: if VP ≥ 0.01 Pa, users will be prompted to also enter a MW</t>
  </si>
  <si>
    <t>- Already implemented: drift reduction available for downward spraying</t>
  </si>
  <si>
    <t>- Already implemented: if refined DFR specified, only show results for refined in Worker tab</t>
  </si>
  <si>
    <t>- FIX: PPE names of "Rain suits" and "Rain trousers" changed to "Rain suit &amp; trousers"</t>
  </si>
  <si>
    <t>- FIX: PPE name of "Protective coverall" changed to "Certified protective coverall"</t>
  </si>
  <si>
    <t>- FIX: if no AAOEL is entered, Summary tab will show "AAOEL = N/A"</t>
  </si>
  <si>
    <t>- FIX: Worker + Summary tab: if no TC for certain PPE level is available, exposure will show "N/A"</t>
  </si>
  <si>
    <t>- FIX: In case of "Amenity grassland" and "Turf harvesting, cutting and handling" activity for worker, the Summary sheet reports soil DT50 instead of foliar DT50</t>
  </si>
  <si>
    <t>- FIX: Citrus: outdoor scenario for "dense foliage"  added</t>
  </si>
  <si>
    <t>- FIX bug: formula for worker re-entry exposure calculation for AS #2 corrected</t>
  </si>
  <si>
    <t>- FEATURE: Operator spray tab: Head PPE and RPE can now be selected from separate dropdown lists, allowing simultaneous use of Hood + RPE</t>
  </si>
  <si>
    <t>- FEATURE: Operator spray tab: exposure figures for individual body parts can be shown or hidden</t>
  </si>
  <si>
    <t>- FEATURE: Comment added to worker re-entry section, hinting at option for custom re-entry interval</t>
  </si>
  <si>
    <t>- FEATURE: if "Rain suit" or "Coverall" is selected as PPE, gloves will automatically be selected, too (gloves can be deselected manually, if required)</t>
  </si>
  <si>
    <t>v1.4: 05 February 2025</t>
  </si>
  <si>
    <t>- FIX: remove faceshield as single protection for application</t>
  </si>
  <si>
    <t>- FIX: In case of "Amenity grassland" and "Turf harvesting, cutting and handling" activity for worker, the Summary sheet now reports TTR instead of DFR</t>
  </si>
  <si>
    <t>- FIX: for granular applications, no dermal absorption value can be entered for "in-use dilution"</t>
  </si>
  <si>
    <t>- FIX: wording of worker clothing/PPE scenarios adapted to that of EFSA OPEX calculator</t>
  </si>
  <si>
    <t>- FIX bug: Dermal exposure after re-entry interval now correctly calculated for Worker activity "contact with bare soil"</t>
  </si>
  <si>
    <t>- FIX bug: Dermal exposure after re-entry into bare soil now correctly calculated for Residents, Bystanders</t>
  </si>
  <si>
    <t>- FIX bug: No dermal exposure calculated for Worker activity "contact with bare soil" if granular application</t>
  </si>
  <si>
    <t>- FIX bug: In case of Amenity grassland and the Turf harvesting, cutting and handling activity for worker, the calculation of the safe re-entry interval for combined exposure is now correctly based on the default Turf Transferable Residue (TTR).</t>
  </si>
  <si>
    <t>- Add: ‘Citrus’ as separate crop group</t>
  </si>
  <si>
    <t>v1.3: 11 December 2024</t>
  </si>
  <si>
    <t>- Option added: re-entry exposure of residents and bystanders for outdoor uses can be disregarded</t>
  </si>
  <si>
    <t>- Worker TCs and hours are now displayed on data entry sheet</t>
  </si>
  <si>
    <t>- FIX bug: worker exposure is now only calculated for PPE scenarios with defined dermal TCs</t>
  </si>
  <si>
    <t>- FIX bug: worker activity "Inspection, irrigation" is now available for oil and cane fruits</t>
  </si>
  <si>
    <t>v1.2: 20 November 2024</t>
  </si>
  <si>
    <t>- User is prompted to check dermal absorption values if entered values exceed the respective EFSA default values</t>
  </si>
  <si>
    <t>- User is prompted to check number of applications if a measured DFR is entered to avoid double accounting of foliar residues</t>
  </si>
  <si>
    <t>- FIX bug: Inhalation exposure now correctly calculated for Worker activity "contact with bare soil"</t>
  </si>
  <si>
    <t>- FIX bug: An error in the calculation of hand exposure during trolley applications has been corrected</t>
  </si>
  <si>
    <t>- FIX bug: In case of high vapour pressure (VP &gt;= 10e-2), the vapour concentration will only be based on the SVC approach instead of the default value.</t>
  </si>
  <si>
    <t>Column12</t>
  </si>
  <si>
    <t>Column1</t>
  </si>
  <si>
    <t>Column2</t>
  </si>
  <si>
    <t>Column3</t>
  </si>
  <si>
    <t>Column4</t>
  </si>
  <si>
    <t>Column5</t>
  </si>
  <si>
    <t>Column6</t>
  </si>
  <si>
    <t>ML Tank</t>
  </si>
  <si>
    <t/>
  </si>
  <si>
    <t>intercept</t>
  </si>
  <si>
    <t>log TA</t>
  </si>
  <si>
    <t>form:liquid</t>
  </si>
  <si>
    <t>form:WP</t>
  </si>
  <si>
    <t>WPS</t>
  </si>
  <si>
    <t>F shield</t>
  </si>
  <si>
    <t>Total hands</t>
  </si>
  <si>
    <t>3.27</t>
  </si>
  <si>
    <t>0.64</t>
  </si>
  <si>
    <t>1.28</t>
  </si>
  <si>
    <t>1.17</t>
  </si>
  <si>
    <t>Protected hands</t>
  </si>
  <si>
    <t>1.46</t>
  </si>
  <si>
    <t>0.46</t>
  </si>
  <si>
    <t>0.32</t>
  </si>
  <si>
    <t>1.66</t>
  </si>
  <si>
    <t>0.2</t>
  </si>
  <si>
    <t>Total body</t>
  </si>
  <si>
    <t>3.04</t>
  </si>
  <si>
    <t>0.74</t>
  </si>
  <si>
    <t>0.52</t>
  </si>
  <si>
    <t>1.85</t>
  </si>
  <si>
    <t>Protected body</t>
  </si>
  <si>
    <t>1.58</t>
  </si>
  <si>
    <t>0.62</t>
  </si>
  <si>
    <t>0.12</t>
  </si>
  <si>
    <t>1.84</t>
  </si>
  <si>
    <t>Head</t>
  </si>
  <si>
    <t>1</t>
  </si>
  <si>
    <t>0.34</t>
  </si>
  <si>
    <t>0.7</t>
  </si>
  <si>
    <t>-1.67</t>
  </si>
  <si>
    <t>Inhalation</t>
  </si>
  <si>
    <t>1.38</t>
  </si>
  <si>
    <t>0.38</t>
  </si>
  <si>
    <t>-0.87</t>
  </si>
  <si>
    <t>1.96</t>
  </si>
  <si>
    <t>-0.03</t>
  </si>
  <si>
    <t>Appl. LCTM</t>
  </si>
  <si>
    <t>A HCTM</t>
  </si>
  <si>
    <t>A HCHH</t>
  </si>
  <si>
    <t>dense</t>
  </si>
  <si>
    <t>trolley</t>
  </si>
  <si>
    <t>rain suit</t>
  </si>
  <si>
    <t>protective coverall</t>
  </si>
  <si>
    <t>4.4</t>
  </si>
  <si>
    <t>0.83</t>
  </si>
  <si>
    <t>0.17</t>
  </si>
  <si>
    <t>-0.62</t>
  </si>
  <si>
    <t>1.71</t>
  </si>
  <si>
    <t>1.32</t>
  </si>
  <si>
    <t>-1.04</t>
  </si>
  <si>
    <t>5.59</t>
  </si>
  <si>
    <t>0.67</t>
  </si>
  <si>
    <t>-0.81</t>
  </si>
  <si>
    <t xml:space="preserve"> </t>
  </si>
  <si>
    <t>1.64</t>
  </si>
  <si>
    <t>-1.23</t>
  </si>
  <si>
    <t>-2.42</t>
  </si>
  <si>
    <t>-0.54</t>
  </si>
  <si>
    <t>2.7</t>
  </si>
  <si>
    <t>0.18</t>
  </si>
  <si>
    <t>0.29</t>
  </si>
  <si>
    <t>-0.41</t>
  </si>
  <si>
    <t>2.69</t>
  </si>
  <si>
    <t>0.08</t>
  </si>
  <si>
    <t>-0.19</t>
  </si>
  <si>
    <t>ML knapsack</t>
  </si>
  <si>
    <t>75th percentile</t>
  </si>
  <si>
    <t>9497</t>
  </si>
  <si>
    <t>21</t>
  </si>
  <si>
    <t>803</t>
  </si>
  <si>
    <t>25</t>
  </si>
  <si>
    <t>5.5</t>
  </si>
  <si>
    <t>35</t>
  </si>
  <si>
    <t xml:space="preserve">A LCHH </t>
  </si>
  <si>
    <t>normal</t>
  </si>
  <si>
    <t>dense with rain trousers</t>
  </si>
  <si>
    <t>1323</t>
  </si>
  <si>
    <t>1.5</t>
  </si>
  <si>
    <t>16797</t>
  </si>
  <si>
    <t>55521</t>
  </si>
  <si>
    <t>132</t>
  </si>
  <si>
    <t>12180</t>
  </si>
  <si>
    <t>80</t>
  </si>
  <si>
    <t>47</t>
  </si>
  <si>
    <t>Column7</t>
  </si>
  <si>
    <t>3.74</t>
  </si>
  <si>
    <t>0.69</t>
  </si>
  <si>
    <t>0.71</t>
  </si>
  <si>
    <t>1.21</t>
  </si>
  <si>
    <t>1.3</t>
  </si>
  <si>
    <t>2.29</t>
  </si>
  <si>
    <t>0.53</t>
  </si>
  <si>
    <t>1.39</t>
  </si>
  <si>
    <t>3.87</t>
  </si>
  <si>
    <t>0.72</t>
  </si>
  <si>
    <t>1.29</t>
  </si>
  <si>
    <t>2.09</t>
  </si>
  <si>
    <t>0.78</t>
  </si>
  <si>
    <t>0.44</t>
  </si>
  <si>
    <t>2.19</t>
  </si>
  <si>
    <t>0.39</t>
  </si>
  <si>
    <t>0.11</t>
  </si>
  <si>
    <t>-1.16</t>
  </si>
  <si>
    <t>1.81</t>
  </si>
  <si>
    <t>0.49</t>
  </si>
  <si>
    <t>-0.92</t>
  </si>
  <si>
    <t>1.54</t>
  </si>
  <si>
    <t>0.19</t>
  </si>
  <si>
    <t>droplets: normal</t>
  </si>
  <si>
    <t>equipmt: normal</t>
  </si>
  <si>
    <t>2.96</t>
  </si>
  <si>
    <t>0.73</t>
  </si>
  <si>
    <t>0.61</t>
  </si>
  <si>
    <t>-0.21</t>
  </si>
  <si>
    <t>-0.46</t>
  </si>
  <si>
    <t>1.79</t>
  </si>
  <si>
    <t>1.94</t>
  </si>
  <si>
    <t>1.51</t>
  </si>
  <si>
    <t>-0.82</t>
  </si>
  <si>
    <t>0.47</t>
  </si>
  <si>
    <t>1.05</t>
  </si>
  <si>
    <t>-0.77</t>
  </si>
  <si>
    <t>1.16</t>
  </si>
  <si>
    <t>1.03</t>
  </si>
  <si>
    <t>-1.12</t>
  </si>
  <si>
    <t>1.27</t>
  </si>
  <si>
    <t>0.58</t>
  </si>
  <si>
    <t>0.33</t>
  </si>
  <si>
    <t>-1.14</t>
  </si>
  <si>
    <t>cabin: no_cabin</t>
  </si>
  <si>
    <t>3.32</t>
  </si>
  <si>
    <t>0.48</t>
  </si>
  <si>
    <t>2.88</t>
  </si>
  <si>
    <t>3.92</t>
  </si>
  <si>
    <t>0.79</t>
  </si>
  <si>
    <t>2.21</t>
  </si>
  <si>
    <t>0.15</t>
  </si>
  <si>
    <t>1.56</t>
  </si>
  <si>
    <t>0.6</t>
  </si>
  <si>
    <t>culture: normal</t>
  </si>
  <si>
    <t>4.41</t>
  </si>
  <si>
    <t>0.77</t>
  </si>
  <si>
    <t>-0.47</t>
  </si>
  <si>
    <t>2.61</t>
  </si>
  <si>
    <t>-0.51</t>
  </si>
  <si>
    <t>6.34</t>
  </si>
  <si>
    <t>0.01</t>
  </si>
  <si>
    <t>-1.09</t>
  </si>
  <si>
    <t>5.27</t>
  </si>
  <si>
    <t>-1.99</t>
  </si>
  <si>
    <t>3.5</t>
  </si>
  <si>
    <t>-0.59</t>
  </si>
  <si>
    <t>2.52</t>
  </si>
  <si>
    <t>-0.26</t>
  </si>
  <si>
    <t>95th percentile</t>
  </si>
  <si>
    <t>25490</t>
  </si>
  <si>
    <t>164</t>
  </si>
  <si>
    <t>2787</t>
  </si>
  <si>
    <t>103</t>
  </si>
  <si>
    <t>11</t>
  </si>
  <si>
    <t>36</t>
  </si>
  <si>
    <t>4213</t>
  </si>
  <si>
    <t>22</t>
  </si>
  <si>
    <t>137007</t>
  </si>
  <si>
    <t>62630</t>
  </si>
  <si>
    <t>85</t>
  </si>
  <si>
    <t>26</t>
  </si>
  <si>
    <t>4.81</t>
  </si>
  <si>
    <t>0.84</t>
  </si>
  <si>
    <t>0.14</t>
  </si>
  <si>
    <t>2.36</t>
  </si>
  <si>
    <t>0.76</t>
  </si>
  <si>
    <t>-1.19</t>
  </si>
  <si>
    <t>6.1</t>
  </si>
  <si>
    <t>5.07</t>
  </si>
  <si>
    <t>1.07</t>
  </si>
  <si>
    <t>-1.71</t>
  </si>
  <si>
    <t>-2.2</t>
  </si>
  <si>
    <t>-0.64</t>
  </si>
  <si>
    <t>3.1</t>
  </si>
  <si>
    <t>0.25</t>
  </si>
  <si>
    <t>2.82</t>
  </si>
  <si>
    <t>0.63</t>
  </si>
  <si>
    <t>4159</t>
  </si>
  <si>
    <t>12</t>
  </si>
  <si>
    <t>28082</t>
  </si>
  <si>
    <t>85382</t>
  </si>
  <si>
    <t>640</t>
  </si>
  <si>
    <t>27958</t>
  </si>
  <si>
    <t>154</t>
  </si>
  <si>
    <t>39</t>
  </si>
  <si>
    <t>2.84</t>
  </si>
  <si>
    <t>0.37</t>
  </si>
  <si>
    <t>0.23</t>
  </si>
  <si>
    <t>0.54</t>
  </si>
  <si>
    <t>1.11</t>
  </si>
  <si>
    <t>2.54</t>
  </si>
  <si>
    <t>0.81</t>
  </si>
  <si>
    <t>-1.43</t>
  </si>
  <si>
    <t>0.24</t>
  </si>
  <si>
    <t>0.88</t>
  </si>
  <si>
    <t>-0.53</t>
  </si>
  <si>
    <t>0.5</t>
  </si>
  <si>
    <t>-0.71</t>
  </si>
  <si>
    <t>3.12</t>
  </si>
  <si>
    <t>0.89</t>
  </si>
  <si>
    <t>0.28</t>
  </si>
  <si>
    <t>1.55</t>
  </si>
  <si>
    <t>3.47</t>
  </si>
  <si>
    <t>1.83</t>
  </si>
  <si>
    <t>1.89</t>
  </si>
  <si>
    <t>0.99</t>
  </si>
  <si>
    <t>0.57</t>
  </si>
  <si>
    <t>0.82</t>
  </si>
  <si>
    <t>4.26</t>
  </si>
  <si>
    <t>-0.83</t>
  </si>
  <si>
    <t>2.26</t>
  </si>
  <si>
    <t>-0.88</t>
  </si>
  <si>
    <t>6.08</t>
  </si>
  <si>
    <t>0.16</t>
  </si>
  <si>
    <t>-1.29</t>
  </si>
  <si>
    <t>4.65</t>
  </si>
  <si>
    <t>-1.64</t>
  </si>
  <si>
    <t>2.17</t>
  </si>
  <si>
    <t>1544</t>
  </si>
  <si>
    <t>5</t>
  </si>
  <si>
    <t>88868</t>
  </si>
  <si>
    <t>8903</t>
  </si>
  <si>
    <t>Note: Some drop-down menus depend on others. To avoid errors, please fill-in from top to bottom</t>
  </si>
  <si>
    <t>Application Scenarios</t>
  </si>
  <si>
    <t xml:space="preserve">Product name </t>
  </si>
  <si>
    <t>Product category</t>
  </si>
  <si>
    <t>Formulation type</t>
  </si>
  <si>
    <t>Other</t>
  </si>
  <si>
    <t>Crop type</t>
  </si>
  <si>
    <t>Re-entry activity</t>
  </si>
  <si>
    <t>Re-entry activity TSF</t>
  </si>
  <si>
    <t>Working hours</t>
  </si>
  <si>
    <t>h</t>
  </si>
  <si>
    <t>Scenario</t>
  </si>
  <si>
    <t>Dermal TC - Total potential exposure</t>
  </si>
  <si>
    <t>cm²/h</t>
  </si>
  <si>
    <t>Indoor or Outdoor application</t>
  </si>
  <si>
    <t>Dermal TC - arms, body and legs covered</t>
  </si>
  <si>
    <t>Max. application rate of the product [L or kg/ha]</t>
  </si>
  <si>
    <t>Dermal TC - hands, arms, body and legs covered</t>
  </si>
  <si>
    <t>Minimum volume water for application (liquids)</t>
  </si>
  <si>
    <t>L/ha</t>
  </si>
  <si>
    <t>Dermal TC - hands covered, no workwear</t>
  </si>
  <si>
    <t>Maximum volume water for application (liquids)</t>
  </si>
  <si>
    <t>Inhalation task specific factor (TSF)</t>
  </si>
  <si>
    <r>
      <t>ha/h*10</t>
    </r>
    <r>
      <rPr>
        <vertAlign val="superscript"/>
        <sz val="8"/>
        <color theme="0" tint="-0.34998626667073579"/>
        <rFont val="Calibri"/>
        <family val="2"/>
      </rPr>
      <t>-3</t>
    </r>
  </si>
  <si>
    <t>Application method</t>
  </si>
  <si>
    <t>Application equipment</t>
  </si>
  <si>
    <t>Drift reduction</t>
  </si>
  <si>
    <t>Buffer strip</t>
  </si>
  <si>
    <t>Max. number of applications</t>
  </si>
  <si>
    <t>Interval between multiple applications</t>
  </si>
  <si>
    <t>days</t>
  </si>
  <si>
    <t>Season (upward spraying orchards only)</t>
  </si>
  <si>
    <t>not relevant</t>
  </si>
  <si>
    <t>Active substance properties</t>
  </si>
  <si>
    <t>Active substance name</t>
  </si>
  <si>
    <t>Concentration of active substance [g a.s./L or kg]</t>
  </si>
  <si>
    <t>Minimum in-use-concentration of active substance</t>
  </si>
  <si>
    <t>g a.s./L</t>
  </si>
  <si>
    <t>Maximum in-use-concentration of active substance</t>
  </si>
  <si>
    <t>Maximum application rate of active substance</t>
  </si>
  <si>
    <t>kg a.s./ha</t>
  </si>
  <si>
    <t>Acceptable Operator Exposure Level (AOEL)</t>
  </si>
  <si>
    <t>mg/kg bw/day</t>
  </si>
  <si>
    <t>Acute Acceptable Operator Exposure Level (AAOEL)</t>
  </si>
  <si>
    <t>Foliar DT50</t>
  </si>
  <si>
    <t>Initial Dislodgeable Foliar Residue</t>
  </si>
  <si>
    <t xml:space="preserve">µg/cm² of foliage/kg a.s. applied/ha </t>
  </si>
  <si>
    <t>Dermal absorption of product</t>
  </si>
  <si>
    <t>Dermal absorption of in-use dilution</t>
  </si>
  <si>
    <t>Oral absorption of active substance</t>
  </si>
  <si>
    <t>Inhalation absorption of active substance</t>
  </si>
  <si>
    <t>Vapour pressure of active substance</t>
  </si>
  <si>
    <t>Pa</t>
  </si>
  <si>
    <t>Molecular weight of active substance</t>
  </si>
  <si>
    <t>g/mol</t>
  </si>
  <si>
    <t>Substance</t>
  </si>
  <si>
    <t>Percentage Absorption</t>
  </si>
  <si>
    <t xml:space="preserve">Operator Model </t>
  </si>
  <si>
    <t>Mixing and Loading</t>
  </si>
  <si>
    <t>Application</t>
  </si>
  <si>
    <t>Operator - M&amp;L + Application</t>
  </si>
  <si>
    <t>Exposure (mg/kg bw/d)</t>
  </si>
  <si>
    <t>%(A)AOEL</t>
  </si>
  <si>
    <t>Combined</t>
  </si>
  <si>
    <t>Hazard Index</t>
  </si>
  <si>
    <t>Potential exposure</t>
  </si>
  <si>
    <t>Longer term systemic exposure</t>
  </si>
  <si>
    <t>Acute systemic exposure</t>
  </si>
  <si>
    <t>Exposure (including PPE options shown above)</t>
  </si>
  <si>
    <t>%AOEL</t>
  </si>
  <si>
    <t>Safe re-entry (d)</t>
  </si>
  <si>
    <t>Arms, body and legs covered</t>
  </si>
  <si>
    <t>Hands, arms, body and legs covered</t>
  </si>
  <si>
    <t>Hands covered, no workwear</t>
  </si>
  <si>
    <t>Resident - child</t>
  </si>
  <si>
    <t>Spray drift (75th percentile)</t>
  </si>
  <si>
    <t>Vapour (75th percentile)</t>
  </si>
  <si>
    <t>Surface deposits (75th percentile)</t>
  </si>
  <si>
    <t>Entry into treated crops (75th percentile)</t>
  </si>
  <si>
    <t>All pathways (mean)</t>
  </si>
  <si>
    <t>Resident - adult</t>
  </si>
  <si>
    <t>Bystander - child</t>
  </si>
  <si>
    <t>%AAOEL</t>
  </si>
  <si>
    <t>Spray drift (95th percentile)</t>
  </si>
  <si>
    <t>Vapour (95th percentile)</t>
  </si>
  <si>
    <t>Surface deposits (95th percentile)</t>
  </si>
  <si>
    <t>Entry into treated crops (95th percentile)</t>
  </si>
  <si>
    <t>Bystander - adult</t>
  </si>
  <si>
    <t>Recreational Exposure</t>
  </si>
  <si>
    <t>Child (%AOEL):</t>
  </si>
  <si>
    <t>Adult (%AOEL):</t>
  </si>
  <si>
    <t xml:space="preserve">Child (HI): </t>
  </si>
  <si>
    <t>Adult (HI):</t>
  </si>
  <si>
    <t>Application rate of active substance</t>
  </si>
  <si>
    <t>i_AppRateAS</t>
  </si>
  <si>
    <t>Amount of active substance applied</t>
  </si>
  <si>
    <t>kg a.s./day</t>
  </si>
  <si>
    <t>i_AmountAS</t>
  </si>
  <si>
    <t>Dermal absorption of the product</t>
  </si>
  <si>
    <t>i_AbsorpProduct</t>
  </si>
  <si>
    <t>i_AbsorInuse</t>
  </si>
  <si>
    <t>Assumed area treated</t>
  </si>
  <si>
    <t>ha/day</t>
  </si>
  <si>
    <t>d_AreaTreated</t>
  </si>
  <si>
    <t>Season</t>
  </si>
  <si>
    <t>Mixing and loading</t>
  </si>
  <si>
    <t xml:space="preserve">Exposure values </t>
  </si>
  <si>
    <t>µg exposure/day mixed and loaded</t>
  </si>
  <si>
    <t xml:space="preserve">Reference </t>
  </si>
  <si>
    <t>Comment</t>
  </si>
  <si>
    <t xml:space="preserve">95th percentile </t>
  </si>
  <si>
    <t>Hands</t>
  </si>
  <si>
    <t>AOEM</t>
  </si>
  <si>
    <t>Body</t>
  </si>
  <si>
    <t>Protected hands (gloves)</t>
  </si>
  <si>
    <t>Protected body (workwear or protective garment and sturdy footwear)</t>
  </si>
  <si>
    <t>Protected head (hood +/- face shield)</t>
  </si>
  <si>
    <t>Protective Equipment</t>
  </si>
  <si>
    <t>Select for inclusion</t>
  </si>
  <si>
    <t>Penetration factor</t>
  </si>
  <si>
    <t>Inhalation Protection factor</t>
  </si>
  <si>
    <t>Gloves</t>
  </si>
  <si>
    <t>Clothing</t>
  </si>
  <si>
    <t>Incl. in AOEM model</t>
  </si>
  <si>
    <t>Head and respiratory PPE</t>
  </si>
  <si>
    <t>Water soluble bag</t>
  </si>
  <si>
    <t>µg exposure/day applied</t>
  </si>
  <si>
    <t>Cabin</t>
  </si>
  <si>
    <t>vehicle mounted upward spraying only</t>
  </si>
  <si>
    <t>1. Total</t>
  </si>
  <si>
    <t>Without RPE/PPE</t>
  </si>
  <si>
    <t xml:space="preserve">With RPE/PPE </t>
  </si>
  <si>
    <t>Short-term</t>
  </si>
  <si>
    <t>Total systemic exposure from mixing, loading and application (mg a.s./day)</t>
  </si>
  <si>
    <t>Total systemic dose from mixing, loading and application per kg body weight (mg/kg bw/day)</t>
  </si>
  <si>
    <t>% of AOEL</t>
  </si>
  <si>
    <t xml:space="preserve">Acute </t>
  </si>
  <si>
    <t>% of AAOEL</t>
  </si>
  <si>
    <t>2. Short-term exposure</t>
  </si>
  <si>
    <t>2.1 Mixing and loading</t>
  </si>
  <si>
    <t>Systemic exposure [mg a.s. /day]</t>
  </si>
  <si>
    <t>Systemic dose [mg a.s./kg bw/day]</t>
  </si>
  <si>
    <t xml:space="preserve">Sum </t>
  </si>
  <si>
    <t>With RPE/PPE (as selected above)</t>
  </si>
  <si>
    <t>2.2 Application</t>
  </si>
  <si>
    <t>3. Acute exposure</t>
  </si>
  <si>
    <t>3.1 Mixing and loading</t>
  </si>
  <si>
    <t>Protected head</t>
  </si>
  <si>
    <t>No</t>
  </si>
  <si>
    <t>Work wear - arms, body and legs covered</t>
  </si>
  <si>
    <t>Head PPE and RPE</t>
  </si>
  <si>
    <t>None</t>
  </si>
  <si>
    <t>Not relevant</t>
  </si>
  <si>
    <t>Total systemic exposure from ML and application (mg a.s./day)</t>
  </si>
  <si>
    <t>Total systemic dose from ML and application per kg body weight (mg/kg bw/day)</t>
  </si>
  <si>
    <t>Hazard index</t>
  </si>
  <si>
    <t>M &amp; L</t>
  </si>
  <si>
    <t>mg exposure/kg a.s. mixed and loaded</t>
  </si>
  <si>
    <r>
      <rPr>
        <sz val="11"/>
        <color rgb="FF000000"/>
        <rFont val="Calibri"/>
        <family val="2"/>
        <charset val="1"/>
      </rPr>
      <t>75</t>
    </r>
    <r>
      <rPr>
        <vertAlign val="superscript"/>
        <sz val="11"/>
        <color rgb="FF000000"/>
        <rFont val="Calibri"/>
        <family val="2"/>
        <charset val="1"/>
      </rPr>
      <t>th</t>
    </r>
    <r>
      <rPr>
        <sz val="11"/>
        <color rgb="FF000000"/>
        <rFont val="Calibri"/>
        <family val="2"/>
        <charset val="1"/>
      </rPr>
      <t xml:space="preserve"> centile</t>
    </r>
  </si>
  <si>
    <r>
      <rPr>
        <sz val="11"/>
        <color rgb="FF000000"/>
        <rFont val="Calibri"/>
        <family val="2"/>
        <charset val="1"/>
      </rPr>
      <t>95</t>
    </r>
    <r>
      <rPr>
        <vertAlign val="superscript"/>
        <sz val="11"/>
        <color rgb="FF000000"/>
        <rFont val="Calibri"/>
        <family val="2"/>
        <charset val="1"/>
      </rPr>
      <t>th</t>
    </r>
    <r>
      <rPr>
        <sz val="11"/>
        <color rgb="FF000000"/>
        <rFont val="Calibri"/>
        <family val="2"/>
        <charset val="1"/>
      </rPr>
      <t xml:space="preserve"> centile </t>
    </r>
  </si>
  <si>
    <t xml:space="preserve">Choose item </t>
  </si>
  <si>
    <t>Body PPE</t>
  </si>
  <si>
    <t>RPE</t>
  </si>
  <si>
    <t>Chemical resistant gloves</t>
  </si>
  <si>
    <t>Certified protective coverall</t>
  </si>
  <si>
    <t>FP2, P2 and similar</t>
  </si>
  <si>
    <t>Short term</t>
  </si>
  <si>
    <t>2. Longer term exposure</t>
  </si>
  <si>
    <t>Sum</t>
  </si>
  <si>
    <t>3.2 Application</t>
  </si>
  <si>
    <t>Match AOEM</t>
  </si>
  <si>
    <t>Outdoor/Indoor</t>
  </si>
  <si>
    <t>Type of exposure</t>
  </si>
  <si>
    <t>ML 75th Intercept</t>
  </si>
  <si>
    <t>ML 75th Applied Amount Factor</t>
  </si>
  <si>
    <t>ML 75th Scenario Factor</t>
  </si>
  <si>
    <t>ML 75th Percentile AOEM</t>
  </si>
  <si>
    <t>ML 95th Intercept</t>
  </si>
  <si>
    <t>ML 95th Applied Amount Factor</t>
  </si>
  <si>
    <t>ML 95th Scenario Factor</t>
  </si>
  <si>
    <t>ML 95th Percentile AOEM</t>
  </si>
  <si>
    <t>Application 75th Intercept</t>
  </si>
  <si>
    <t>Application 75th Applied Amount Factor</t>
  </si>
  <si>
    <t>Application 75th Scenario Factor</t>
  </si>
  <si>
    <t>Application 75th Percentile AOEM</t>
  </si>
  <si>
    <t>Application 95th Intercept</t>
  </si>
  <si>
    <t>Application 95th Applied Amount Factor</t>
  </si>
  <si>
    <t>Application 95th Scenario Factor</t>
  </si>
  <si>
    <t>Application 95th Percentile AOEM</t>
  </si>
  <si>
    <t>Indoor</t>
  </si>
  <si>
    <t>Soluble concentrates, emulsifiable concentrate, etc.</t>
  </si>
  <si>
    <t>Downward spraying</t>
  </si>
  <si>
    <t>Manual-Hand held</t>
  </si>
  <si>
    <t>Wettable granules, soluble granules</t>
  </si>
  <si>
    <t>Wettable powder, soluble powder</t>
  </si>
  <si>
    <t>Protected Body</t>
  </si>
  <si>
    <t>Protected Hands</t>
  </si>
  <si>
    <t>Manual-Knapsack</t>
  </si>
  <si>
    <t>Upward spraying</t>
  </si>
  <si>
    <t>Manual-Trolley</t>
  </si>
  <si>
    <t>IndoorDense</t>
  </si>
  <si>
    <t>Outdoor</t>
  </si>
  <si>
    <t>Vehicle-mounted</t>
  </si>
  <si>
    <t>Vehicle-mounted-Drift Reduction</t>
  </si>
  <si>
    <t>Vehicle-mounted-Cabin</t>
  </si>
  <si>
    <t>Crop type (Crop group)</t>
  </si>
  <si>
    <t>Indoor or outdoor</t>
  </si>
  <si>
    <t>Worker's task</t>
  </si>
  <si>
    <t>Activity TSF</t>
  </si>
  <si>
    <t>Main body parts in contact with foliage</t>
  </si>
  <si>
    <t>Number of applications</t>
  </si>
  <si>
    <t>d</t>
  </si>
  <si>
    <t>Application rate of active substance (kg a.s./ha)</t>
  </si>
  <si>
    <t>i_AppRate</t>
  </si>
  <si>
    <t>DT50 foliar (d)</t>
  </si>
  <si>
    <t>d_HalflifeAS</t>
  </si>
  <si>
    <t>DT50 air (d)</t>
  </si>
  <si>
    <t>DT50 soil (d)</t>
  </si>
  <si>
    <t>Dermal absorption of the in-use dilution</t>
  </si>
  <si>
    <t>i_AbsorpInuse</t>
  </si>
  <si>
    <t>Inhalation absorption of the a.s.</t>
  </si>
  <si>
    <t>Saturated vapour concentration (mg/m³)</t>
  </si>
  <si>
    <t>d_SVC</t>
  </si>
  <si>
    <t>Vapour concentration (mg/m³)</t>
  </si>
  <si>
    <t>d_VC</t>
  </si>
  <si>
    <t>Multiple application factor</t>
  </si>
  <si>
    <t>d_MAF</t>
  </si>
  <si>
    <t>d_WorkHr</t>
  </si>
  <si>
    <t>d_DermTcUCV</t>
  </si>
  <si>
    <t>d_DermTcCV1</t>
  </si>
  <si>
    <t>d_DermTcCV2</t>
  </si>
  <si>
    <t>d_DermTcCV3</t>
  </si>
  <si>
    <t>Inhalation TC</t>
  </si>
  <si>
    <r>
      <t>ha/h*10</t>
    </r>
    <r>
      <rPr>
        <vertAlign val="superscript"/>
        <sz val="11"/>
        <color rgb="FF000000"/>
        <rFont val="Calibri"/>
        <family val="2"/>
      </rPr>
      <t>-3</t>
    </r>
  </si>
  <si>
    <t>d_InhalTcManual</t>
  </si>
  <si>
    <t xml:space="preserve">1. Total </t>
  </si>
  <si>
    <t>Comments</t>
  </si>
  <si>
    <t>Total systemic exposure (mg a.s./day)</t>
  </si>
  <si>
    <t>Total systemic dose [mg/kg bw/day]</t>
  </si>
  <si>
    <t>2. Details</t>
  </si>
  <si>
    <t>Systemic exposure</t>
  </si>
  <si>
    <t>[mg a.s./day]</t>
  </si>
  <si>
    <t>[mg a.s./kg bw/day]</t>
  </si>
  <si>
    <t xml:space="preserve"> Dermal - Potential</t>
  </si>
  <si>
    <t>Dermal - Arms, body and legs covered</t>
  </si>
  <si>
    <t>Dermal - Hands, arms, body and legs covered</t>
  </si>
  <si>
    <t>Dermal - Hands covered, no workwear</t>
  </si>
  <si>
    <t>3. Refinement</t>
  </si>
  <si>
    <t>Dermal [mg a.s./kg bw/day]</t>
  </si>
  <si>
    <r>
      <t xml:space="preserve">Minimum re-entry intervals for each PPE level are calculated whenever the "Worker" or "Summary" tab is activated. 
</t>
    </r>
    <r>
      <rPr>
        <b/>
        <sz val="11"/>
        <color rgb="FF3F3F3F"/>
        <rFont val="Calibri"/>
        <family val="2"/>
      </rPr>
      <t>Custom re-entry intervals can be entered in the Combined section.</t>
    </r>
  </si>
  <si>
    <t>Inhalation [mg a.s./kg bw/day]</t>
  </si>
  <si>
    <t>% of AOEL 
at the end of combined re-entry interval</t>
  </si>
  <si>
    <t>Re-entry interval (d) per A.S.</t>
  </si>
  <si>
    <t>Formulation</t>
  </si>
  <si>
    <t>Boolean</t>
  </si>
  <si>
    <t>Buffer</t>
  </si>
  <si>
    <t>Herbicide</t>
  </si>
  <si>
    <t xml:space="preserve">Operator PPE Hands </t>
  </si>
  <si>
    <t>Yes</t>
  </si>
  <si>
    <t>2-3</t>
  </si>
  <si>
    <t>Granules, fine granules</t>
  </si>
  <si>
    <t xml:space="preserve">Application method drop down: </t>
  </si>
  <si>
    <t xml:space="preserve">Application equipment drop down: </t>
  </si>
  <si>
    <t>Others</t>
  </si>
  <si>
    <t>Drift reduction (%)</t>
  </si>
  <si>
    <t>IndoorDownwardspraying</t>
  </si>
  <si>
    <t>IndoorDenseDownwardspraying</t>
  </si>
  <si>
    <t>OutdoorDownwardspraying</t>
  </si>
  <si>
    <t xml:space="preserve">does not apply </t>
  </si>
  <si>
    <t xml:space="preserve">Define listname for additional restriction for "Application of Granules": </t>
  </si>
  <si>
    <t xml:space="preserve">Indoor or outdoor drop down: </t>
  </si>
  <si>
    <t>IndoorUpwardspraying</t>
  </si>
  <si>
    <t>IndoorDenseUpwardspraying</t>
  </si>
  <si>
    <t>lk_IndoorOutdoor</t>
  </si>
  <si>
    <t>Indoor, Dense</t>
  </si>
  <si>
    <t>IndoorApplicationofgranules</t>
  </si>
  <si>
    <t>Manual</t>
  </si>
  <si>
    <t>OutdoorUpwardspraying</t>
  </si>
  <si>
    <t>Volatility</t>
  </si>
  <si>
    <t>low volatile substances having a vapour pressure of &lt; 0.005 Pa</t>
  </si>
  <si>
    <r>
      <t>moderately volatile substances with a vapour pressure between 0.005</t>
    </r>
    <r>
      <rPr>
        <vertAlign val="superscript"/>
        <sz val="11"/>
        <color rgb="FF000000"/>
        <rFont val="Calibri"/>
        <family val="2"/>
        <charset val="1"/>
      </rPr>
      <t xml:space="preserve"> </t>
    </r>
    <r>
      <rPr>
        <sz val="11"/>
        <color rgb="FF000000"/>
        <rFont val="Calibri"/>
        <family val="2"/>
        <charset val="1"/>
      </rPr>
      <t>Pa and 0.01</t>
    </r>
    <r>
      <rPr>
        <vertAlign val="superscript"/>
        <sz val="11"/>
        <color rgb="FF000000"/>
        <rFont val="Calibri"/>
        <family val="2"/>
        <charset val="1"/>
      </rPr>
      <t xml:space="preserve"> </t>
    </r>
    <r>
      <rPr>
        <sz val="11"/>
        <color rgb="FF000000"/>
        <rFont val="Calibri"/>
        <family val="2"/>
        <charset val="1"/>
      </rPr>
      <t>Pa</t>
    </r>
  </si>
  <si>
    <t>IndoorGantrysprayerorrooffogger</t>
  </si>
  <si>
    <t>GranulesOutdoor</t>
  </si>
  <si>
    <t>Automated</t>
  </si>
  <si>
    <t>lk_PPEGranule</t>
  </si>
  <si>
    <t>Broadcast</t>
  </si>
  <si>
    <t>In furrow</t>
  </si>
  <si>
    <t>IndoorUltralowvolumemistsprayer</t>
  </si>
  <si>
    <t>OutdoorBroadcast</t>
  </si>
  <si>
    <t>GranulesIndoor</t>
  </si>
  <si>
    <t>Application of granules</t>
  </si>
  <si>
    <t>OutdoorInfurrow</t>
  </si>
  <si>
    <t>lk_PPE_appl</t>
  </si>
  <si>
    <t>IndoorUpwa</t>
  </si>
  <si>
    <t>IndoorDown</t>
  </si>
  <si>
    <t>Normal</t>
  </si>
  <si>
    <t>UpwardFruitCrops</t>
  </si>
  <si>
    <t>OtherCrops</t>
  </si>
  <si>
    <t>OutdoorManual</t>
  </si>
  <si>
    <t>early (without leaves)</t>
  </si>
  <si>
    <t>late (dense foliage)</t>
  </si>
  <si>
    <t>Rain suit &amp; trousers</t>
  </si>
  <si>
    <t>IndoorDenseUpwa</t>
  </si>
  <si>
    <t>IndoorDenseDown</t>
  </si>
  <si>
    <t>Define listname for worker activity</t>
  </si>
  <si>
    <t>Define listname for application techniques</t>
  </si>
  <si>
    <t>FieldCrops</t>
  </si>
  <si>
    <t>Hops</t>
  </si>
  <si>
    <t>Viticulture</t>
  </si>
  <si>
    <t>Orchards</t>
  </si>
  <si>
    <t>Citrus</t>
  </si>
  <si>
    <t>Oilfruits</t>
  </si>
  <si>
    <t>CanefruitHighberries</t>
  </si>
  <si>
    <t>Barearableland</t>
  </si>
  <si>
    <t>Barenonarableland</t>
  </si>
  <si>
    <t>Strawberryoutdoor</t>
  </si>
  <si>
    <t>Inspection, irrigation</t>
  </si>
  <si>
    <t>Hand harvesting</t>
  </si>
  <si>
    <t>Maintenance/thinning</t>
  </si>
  <si>
    <t>Contact with treated soil</t>
  </si>
  <si>
    <t>NA</t>
  </si>
  <si>
    <t>Reaching, picking</t>
  </si>
  <si>
    <t>Hand harvesting (sweetcorn)</t>
  </si>
  <si>
    <t>Harvest</t>
  </si>
  <si>
    <t>Inspection without contact with treated soil</t>
  </si>
  <si>
    <t>Searching, reaching, picking</t>
  </si>
  <si>
    <t>Lowberries</t>
  </si>
  <si>
    <t>Lowvegetables</t>
  </si>
  <si>
    <t>Lowornamentals</t>
  </si>
  <si>
    <t>Highornamentals</t>
  </si>
  <si>
    <t>Amenitygrassland</t>
  </si>
  <si>
    <t>Agriculturalgrassland</t>
  </si>
  <si>
    <t>Highvegetables</t>
  </si>
  <si>
    <t>Strawberryindoor</t>
  </si>
  <si>
    <t>Barenonarablelandrailwaytrack</t>
  </si>
  <si>
    <t>Reaching, picking (all except Brassica)</t>
  </si>
  <si>
    <t>Cutting, sorting, bundling, carrying</t>
  </si>
  <si>
    <t>Turf harvesting, cutting and handling</t>
  </si>
  <si>
    <t>Inspection, irrigation (all)</t>
  </si>
  <si>
    <t>Removing bolting sugar beets</t>
  </si>
  <si>
    <t>Harvest (Brassica only)</t>
  </si>
  <si>
    <t>Maintenance (Brassica only)</t>
  </si>
  <si>
    <t>Define listname for worker activity TSF</t>
  </si>
  <si>
    <t>Inspection, watering</t>
  </si>
  <si>
    <t>General maintenance</t>
  </si>
  <si>
    <t>Harvesting, including cutting and bundling</t>
  </si>
  <si>
    <t>VMOutdoordown</t>
  </si>
  <si>
    <t>VMHHOutdoordown</t>
  </si>
  <si>
    <t>VMHHOutdoorupwa</t>
  </si>
  <si>
    <t>VMHHIndoordown</t>
  </si>
  <si>
    <t>VMHHIndoorupwa</t>
  </si>
  <si>
    <t>VMHHIndoorDensedown</t>
  </si>
  <si>
    <t>VMHHIndoorDenseupwa</t>
  </si>
  <si>
    <t>sys_keyworker</t>
  </si>
  <si>
    <t>Crop</t>
  </si>
  <si>
    <t>CropGroup</t>
  </si>
  <si>
    <t>Activity</t>
  </si>
  <si>
    <t>ActivityTSF</t>
  </si>
  <si>
    <t>bodyPartsInvolved</t>
  </si>
  <si>
    <t>potentialExpo</t>
  </si>
  <si>
    <t>workwear</t>
  </si>
  <si>
    <t>workwearGloves</t>
  </si>
  <si>
    <t>gloves</t>
  </si>
  <si>
    <t>indoor</t>
  </si>
  <si>
    <t>productCategory</t>
  </si>
  <si>
    <t>TSF</t>
  </si>
  <si>
    <t>Agricultural grassland</t>
  </si>
  <si>
    <t xml:space="preserve">All crops </t>
  </si>
  <si>
    <t>Hand; body</t>
  </si>
  <si>
    <t>herbicide</t>
  </si>
  <si>
    <t>other</t>
  </si>
  <si>
    <t>Amenity grassland</t>
  </si>
  <si>
    <t>Bare arable land</t>
  </si>
  <si>
    <t>Bare non arable land</t>
  </si>
  <si>
    <t>Bare non arable land/railway track</t>
  </si>
  <si>
    <t>Cane fruit/High berries</t>
  </si>
  <si>
    <t>Field crops</t>
  </si>
  <si>
    <t>High ornamentals</t>
  </si>
  <si>
    <t>Ornamentals (low/high)</t>
  </si>
  <si>
    <t>High vegetables</t>
  </si>
  <si>
    <t>Low/High vegetables</t>
  </si>
  <si>
    <t>Low berries</t>
  </si>
  <si>
    <t>Hand, forearm</t>
  </si>
  <si>
    <t>Low ornamentals</t>
  </si>
  <si>
    <t>Low vegetables</t>
  </si>
  <si>
    <t>removing bolting sugar beets</t>
  </si>
  <si>
    <t>Oil fruits</t>
  </si>
  <si>
    <t>Strawberry indoor</t>
  </si>
  <si>
    <t>Strawberry outdoor</t>
  </si>
  <si>
    <t>RPE reduction factor</t>
  </si>
  <si>
    <t>Application: Gloves PPE reduction factor (depending on formulation type)</t>
  </si>
  <si>
    <t>key_MixRPE, ay_MixRPE</t>
  </si>
  <si>
    <t>key_AppPPEHands, ay_AppPPEHands</t>
  </si>
  <si>
    <t>Wettable powder, soluble powderChemical resistant gloves</t>
  </si>
  <si>
    <t>FP1, P1 and similar</t>
  </si>
  <si>
    <t>Granules, fine granulesChemical resistant gloves</t>
  </si>
  <si>
    <t>Wettable granules, soluble granulesChemical resistant gloves</t>
  </si>
  <si>
    <t>Soluble concentrates, emulsifiable concentrate, etc.Chemical resistant gloves</t>
  </si>
  <si>
    <t>PPE reduction factor</t>
  </si>
  <si>
    <t>Wettable powder, soluble powderNone</t>
  </si>
  <si>
    <t>key_MixPPEBody, ay_MixPPEBody</t>
  </si>
  <si>
    <t>Granules, fine granulesNone</t>
  </si>
  <si>
    <t>Wettable granules, soluble granulesNone</t>
  </si>
  <si>
    <t>Soluble concentrates, emulsifiable concentrate, etc.None</t>
  </si>
  <si>
    <t>key_MixPPEHead, ay_MixPPEHead</t>
  </si>
  <si>
    <t>PPE for Head selection</t>
  </si>
  <si>
    <t>Hood</t>
  </si>
  <si>
    <t>ML_Tank</t>
  </si>
  <si>
    <t>ML_Knapsack</t>
  </si>
  <si>
    <t>APP_Up</t>
  </si>
  <si>
    <t>App_Down</t>
  </si>
  <si>
    <t>Nogloves</t>
  </si>
  <si>
    <t>Hood &amp; faceshield</t>
  </si>
  <si>
    <t>Crop dependent exposure parameters</t>
  </si>
  <si>
    <t>Area Treated</t>
  </si>
  <si>
    <t>key_CropType, ay_CropType</t>
  </si>
  <si>
    <t>Transfer coefficients</t>
  </si>
  <si>
    <t>Vehicle Mounted Applications</t>
  </si>
  <si>
    <t>Arm, body and legs covered</t>
  </si>
  <si>
    <t>Total potential exposure</t>
  </si>
  <si>
    <t>hs per day</t>
  </si>
  <si>
    <t>Body parts involved</t>
  </si>
  <si>
    <t>Hands, arm, body and legs covered</t>
  </si>
  <si>
    <t>Type of crop for Resident Bystander</t>
  </si>
  <si>
    <t>Application technique</t>
  </si>
  <si>
    <t>Hand and body</t>
  </si>
  <si>
    <t>VM</t>
  </si>
  <si>
    <t>Hand and forearm</t>
  </si>
  <si>
    <t>VMHH</t>
  </si>
  <si>
    <t>Grapes</t>
  </si>
  <si>
    <t>no TC available for this assessment</t>
  </si>
  <si>
    <t>Resident Spray Drift</t>
  </si>
  <si>
    <t>These values are the 75th Percentiles for Residents (assuming average breathing rates for inhalation exposures)</t>
  </si>
  <si>
    <t>key_ResidSpray, ay_ResidSpray</t>
  </si>
  <si>
    <t>Adults Dermal</t>
  </si>
  <si>
    <t>Children Dermal</t>
  </si>
  <si>
    <t>Adults Inhalation</t>
  </si>
  <si>
    <t>Children Inhalation</t>
  </si>
  <si>
    <t>Downward spraying2-3</t>
  </si>
  <si>
    <t>Downward spraying5</t>
  </si>
  <si>
    <t>Downward spraying10</t>
  </si>
  <si>
    <t>Upward spraying2-3</t>
  </si>
  <si>
    <t>Upward spraying5</t>
  </si>
  <si>
    <t>Upward spraying10</t>
  </si>
  <si>
    <t>Bystander Spray Drift</t>
  </si>
  <si>
    <t>These values are the 95th Percentiles for Bystanders (assuming high breathing rates for inhalation exposures)</t>
  </si>
  <si>
    <t>key_BySpray, ay_BySpray</t>
  </si>
  <si>
    <t>mean Spray Drift</t>
  </si>
  <si>
    <t>These values are the mean values</t>
  </si>
  <si>
    <t>key_AvgSpray, ay_AvgSpray</t>
  </si>
  <si>
    <t>Resident and bystander Surface Deposits Drift percentage</t>
  </si>
  <si>
    <t>Ground sediments in % of the application rate calculated on the basis of percentile values (drift data acc. Rautmann)</t>
  </si>
  <si>
    <t>key_ByCropType, ay_ByCropType</t>
  </si>
  <si>
    <t>key_ByCropType</t>
  </si>
  <si>
    <t>Bystander surface deposit (90th Percentile)</t>
  </si>
  <si>
    <t>Resident surface deposit (77th Percentile)</t>
  </si>
  <si>
    <t>Resident surface deposit (mean)</t>
  </si>
  <si>
    <t>Field cropsnot relevant2-3</t>
  </si>
  <si>
    <t>Field cropsnot relevant5</t>
  </si>
  <si>
    <t>Field cropsnot relevant10</t>
  </si>
  <si>
    <t>Fruit cropsnot relevant2-3</t>
  </si>
  <si>
    <t>Fruit cropsnot relevant5</t>
  </si>
  <si>
    <t>Fruit cropsnot relevant10</t>
  </si>
  <si>
    <t>Fruit cropsearly (without leaves)2-3</t>
  </si>
  <si>
    <t>Fruit cropsearly (without leaves)5</t>
  </si>
  <si>
    <t>Fruit cropsearly (without leaves)10</t>
  </si>
  <si>
    <t>Fruit cropslate (dense foliage)2-3</t>
  </si>
  <si>
    <t>Fruit cropslate (dense foliage)5</t>
  </si>
  <si>
    <t>Fruit cropslate (dense foliage)10</t>
  </si>
  <si>
    <t>Grapesnot relevant2-3</t>
  </si>
  <si>
    <t>Grapesnot relevant5</t>
  </si>
  <si>
    <t>Grapesnot relevant10</t>
  </si>
  <si>
    <t>Hopsnot relevant2-3</t>
  </si>
  <si>
    <t>Hopsnot relevant5</t>
  </si>
  <si>
    <t>Hopsnot relevant10</t>
  </si>
  <si>
    <t>Match MixLoad</t>
  </si>
  <si>
    <t>Mixing &amp; Loading 75th percentile</t>
  </si>
  <si>
    <t>Mixing &amp; Loading 95th percentile</t>
  </si>
  <si>
    <t>Mixing &amp; Loading Comments</t>
  </si>
  <si>
    <t>Mixing &amp; Loading Model</t>
  </si>
  <si>
    <t>Application 75th percentile</t>
  </si>
  <si>
    <t>Application 95th percentile</t>
  </si>
  <si>
    <t>Application Comments</t>
  </si>
  <si>
    <t>Application Model</t>
  </si>
  <si>
    <t>Value for application is for combination of mixing&amp;loading and application</t>
  </si>
  <si>
    <t>PHED</t>
  </si>
  <si>
    <t>Exposure value originally included use of PPE, calculated potential exposure is 100 times higher assuming a ‘worst case’ reduction factor of 1% for gloves/coverall</t>
  </si>
  <si>
    <t xml:space="preserve">Season: </t>
  </si>
  <si>
    <t>Consider re-entry for indoor uses?</t>
  </si>
  <si>
    <t>i_AppEquip</t>
  </si>
  <si>
    <t>Consider re-entry for outdoor uses?</t>
  </si>
  <si>
    <t>i_FormVal</t>
  </si>
  <si>
    <t>m</t>
  </si>
  <si>
    <t>i_Buffer</t>
  </si>
  <si>
    <t>Application rate of the a.s. (kg a.s./ha)</t>
  </si>
  <si>
    <t>d_ConcAS</t>
  </si>
  <si>
    <t>Oral absorption</t>
  </si>
  <si>
    <t>i_AbsorpOralInuse</t>
  </si>
  <si>
    <t>Inhalation absorption</t>
  </si>
  <si>
    <t>Vapour pressure of in-use dilution</t>
  </si>
  <si>
    <t>i_Volat</t>
  </si>
  <si>
    <t>Concentration in air  (mg/m³)</t>
  </si>
  <si>
    <t>d_AirCon</t>
  </si>
  <si>
    <t>Resident dermal spray drift exposure 75th percentile - adult</t>
  </si>
  <si>
    <t>mL spray dilution/person</t>
  </si>
  <si>
    <t>Resident dermal spray drift exposure 75th percentile - child</t>
  </si>
  <si>
    <t>Resident inhal. spray drift exposure 75th percentile - adult</t>
  </si>
  <si>
    <t>Resident inhal. spray drift exposure 75th percentile - child</t>
  </si>
  <si>
    <t>Resident dermal spray drift exposure mean - adult</t>
  </si>
  <si>
    <t>Resident dermal spray drift exposure mean - child</t>
  </si>
  <si>
    <t>Resident inhal. spray drift exposure mean - adult</t>
  </si>
  <si>
    <t>Resident inhal. spray drift exposure mean - child</t>
  </si>
  <si>
    <t>Drift percentage on surface (75th percentile)</t>
  </si>
  <si>
    <t>Drift percentage on surface (mean)</t>
  </si>
  <si>
    <t>1-3 year old child</t>
  </si>
  <si>
    <t>Total systemic dose (mg/kg bw/day)</t>
  </si>
  <si>
    <t>Adult</t>
  </si>
  <si>
    <t>2. Resident exposure 75th Percentile</t>
  </si>
  <si>
    <t>Systemic exposure [mg a.s./day]</t>
  </si>
  <si>
    <t>Spray drift</t>
  </si>
  <si>
    <t>Vapour</t>
  </si>
  <si>
    <t>Surface deposits</t>
  </si>
  <si>
    <t>Dermal</t>
  </si>
  <si>
    <t>Hand to mouth</t>
  </si>
  <si>
    <t>Object to mouth</t>
  </si>
  <si>
    <t>Entry into treated crops</t>
  </si>
  <si>
    <t>Surface deposits (dermal)</t>
  </si>
  <si>
    <t>Entry into treated crops (dermal)</t>
  </si>
  <si>
    <t>2. Resident exposure mean</t>
  </si>
  <si>
    <t>Bystander dermal spray drift exposure - adult</t>
  </si>
  <si>
    <t>Bystander dermal spray drift exposure - child</t>
  </si>
  <si>
    <t>Bystander inhal. spray drift exposure - adult</t>
  </si>
  <si>
    <t>Bystander inhal. spray drift exposure - child</t>
  </si>
  <si>
    <t>Drift percentage on surface (90th percentile)</t>
  </si>
  <si>
    <t>Application rate of the product</t>
  </si>
  <si>
    <t>i_AppRatePPP</t>
  </si>
  <si>
    <t>d_TTR</t>
  </si>
  <si>
    <t>Light clothing adjustment factor adult resident</t>
  </si>
  <si>
    <t>d_ClothAF</t>
  </si>
  <si>
    <t>Drift percentage on surface</t>
  </si>
  <si>
    <t>Turf transferable residues percentage</t>
  </si>
  <si>
    <t>d_Turf</t>
  </si>
  <si>
    <t>Transfer coeff. of surface deposits-adult (cm²/h)</t>
  </si>
  <si>
    <t>d_ReTCAd</t>
  </si>
  <si>
    <t>Transfer coeff. of surface deposits-child (1-3 year old)  (cm²/h)</t>
  </si>
  <si>
    <t>d_ReTCCh</t>
  </si>
  <si>
    <t>Saliva extraction percentage</t>
  </si>
  <si>
    <t>d_SalExt</t>
  </si>
  <si>
    <t>Surface area of hands mouthed (cm²)</t>
  </si>
  <si>
    <t>d_AreaHM</t>
  </si>
  <si>
    <t>Frequency of hand to mouth activity (events/h)</t>
  </si>
  <si>
    <t>d_ReFreqHM</t>
  </si>
  <si>
    <t>Ingestion rate for mouthing of grass per day (cm²)</t>
  </si>
  <si>
    <t>d_MouthGrass</t>
  </si>
  <si>
    <t>Total systemic exposure</t>
  </si>
  <si>
    <t>d_AirConVol</t>
  </si>
  <si>
    <t>Concentration in air of moderately volatile substances</t>
  </si>
  <si>
    <r>
      <rPr>
        <sz val="11"/>
        <color rgb="FF000000"/>
        <rFont val="Calibri"/>
        <family val="2"/>
        <charset val="1"/>
      </rPr>
      <t>mg/m</t>
    </r>
    <r>
      <rPr>
        <vertAlign val="superscript"/>
        <sz val="11"/>
        <color rgb="FF000000"/>
        <rFont val="Calibri"/>
        <family val="2"/>
        <charset val="1"/>
      </rPr>
      <t>3</t>
    </r>
  </si>
  <si>
    <t>d_AirConNonVol</t>
  </si>
  <si>
    <t>Concentration in air of low volatile substances</t>
  </si>
  <si>
    <t>Surface area of hands mouthed</t>
  </si>
  <si>
    <t>cm²</t>
  </si>
  <si>
    <t>Area treated (defined by crop type)</t>
  </si>
  <si>
    <t>ha</t>
  </si>
  <si>
    <t>d_BreathRAd</t>
  </si>
  <si>
    <t>Breathing rate adult residents</t>
  </si>
  <si>
    <t>m³/day/kg</t>
  </si>
  <si>
    <t>d_BreathRCh</t>
  </si>
  <si>
    <t>Breathing rate child (1-3 year old) residents</t>
  </si>
  <si>
    <t>d_BreathWorker</t>
  </si>
  <si>
    <t>Breathing rate worker</t>
  </si>
  <si>
    <t>m³/h</t>
  </si>
  <si>
    <t>d_BwAdult</t>
  </si>
  <si>
    <t>Adult body weight</t>
  </si>
  <si>
    <t>kg</t>
  </si>
  <si>
    <t>d_BwChild</t>
  </si>
  <si>
    <t>Child body weight (1 to &lt; 3 year olds)</t>
  </si>
  <si>
    <t>d_ByBreathRAd</t>
  </si>
  <si>
    <t>Breathing rate adult bystander</t>
  </si>
  <si>
    <t>m³/h/kg</t>
  </si>
  <si>
    <t>d_ByBreathRCh</t>
  </si>
  <si>
    <t>Breathing rate child (1-3 year old) bystander</t>
  </si>
  <si>
    <t>d_ByExpDur</t>
  </si>
  <si>
    <t>Exposure duration intense activity breathing rates</t>
  </si>
  <si>
    <t>d_ByFreqHM</t>
  </si>
  <si>
    <t>Frequency of hand to mouth activity</t>
  </si>
  <si>
    <t>events/h</t>
  </si>
  <si>
    <t>d_ByTCAd</t>
  </si>
  <si>
    <t>Transfer coeff. of surface deposits-adult</t>
  </si>
  <si>
    <t>d_ByTCCh</t>
  </si>
  <si>
    <t>Transfer coeff. of surface deposits-child (1-3 year old)</t>
  </si>
  <si>
    <t>Light clothing adjustment factor resident and bystanders</t>
  </si>
  <si>
    <t>d_ConcAs</t>
  </si>
  <si>
    <t>Concentration of active substance (in-use dilution for liquid applications)</t>
  </si>
  <si>
    <t>d_DFR</t>
  </si>
  <si>
    <t>Dislodgeable foliar residue (i_AppRate*i_DFR)</t>
  </si>
  <si>
    <t>μg a.s./cm²</t>
  </si>
  <si>
    <t>Turf transferable residue (i_AppRate*d_Turf)</t>
  </si>
  <si>
    <t>conc_soil</t>
  </si>
  <si>
    <t>Concentration in soil (i_AppRate/100 * 1/d_soilDepth)</t>
  </si>
  <si>
    <t>mg/m³</t>
  </si>
  <si>
    <t>conc_dust</t>
  </si>
  <si>
    <t>Concentration in dust (ConcSoil1*d_InhalDustExp/d_SoilDensity)</t>
  </si>
  <si>
    <t>Saturated vapour concentration (0.41*i_VP*i_MW)</t>
  </si>
  <si>
    <t>Foliar half-life of active substance (DT50)</t>
  </si>
  <si>
    <t xml:space="preserve">Inhalation transfer coefficient </t>
  </si>
  <si>
    <t>ha/h*10^(-3)</t>
  </si>
  <si>
    <t>d_DRP</t>
  </si>
  <si>
    <t>Dislodgeable residues percentage transferability for object to mouth</t>
  </si>
  <si>
    <t>Ingestion rate for mouthing of grass per day</t>
  </si>
  <si>
    <t>cm² grass/day</t>
  </si>
  <si>
    <t>d_ReExpDur</t>
  </si>
  <si>
    <t>Exposure duration resident dermal</t>
  </si>
  <si>
    <t>d_ReExpDurInhal</t>
  </si>
  <si>
    <t>Exposure duration resident inhalation</t>
  </si>
  <si>
    <t>d_ExpDurTreatCrop</t>
  </si>
  <si>
    <t>Exposure duration for resident and bystander entry into treated crops</t>
  </si>
  <si>
    <t>d_HandSurface</t>
  </si>
  <si>
    <t>Hand surface loading worker</t>
  </si>
  <si>
    <t>d_handSoilLoading</t>
  </si>
  <si>
    <t>Hand soil loading worker</t>
  </si>
  <si>
    <t>mg/cm²</t>
  </si>
  <si>
    <t>d_soilDepth</t>
  </si>
  <si>
    <t>Soil depth</t>
  </si>
  <si>
    <t>cm</t>
  </si>
  <si>
    <t>d_soilDensity</t>
  </si>
  <si>
    <t>Soil density</t>
  </si>
  <si>
    <t>mg/cm³</t>
  </si>
  <si>
    <t>d_InhalDustExp</t>
  </si>
  <si>
    <t>Inhalation dust exposure</t>
  </si>
  <si>
    <t>d_TcEntryAd</t>
  </si>
  <si>
    <t>Transfer coefficient for entry into treated crops 75th percentile - adult</t>
  </si>
  <si>
    <t>d_TcEntryCh</t>
  </si>
  <si>
    <t>Transfer coefficient for entry into treated crops 75th percentile - child</t>
  </si>
  <si>
    <t>d_TcEntryMeanAd</t>
  </si>
  <si>
    <t>Transfer coefficient for entry into treated crops mean - adult</t>
  </si>
  <si>
    <t>d_TcEntryMeanCh</t>
  </si>
  <si>
    <t>Transfer coefficient for entry into treated crops mean - child</t>
  </si>
  <si>
    <t>d_PctExtrapolation</t>
  </si>
  <si>
    <t>For LCHH above this amount linear extrapolation is performed</t>
  </si>
  <si>
    <t>d_head75ProtectionFactor</t>
  </si>
  <si>
    <t>Cooefficient to estimate head protection factor 75th Percentile</t>
  </si>
  <si>
    <t>d_head95ProtectionFactor</t>
  </si>
  <si>
    <t>Cooefficient to estimate head protection factor 95th Percentile</t>
  </si>
  <si>
    <t>skinAdhSoil</t>
  </si>
  <si>
    <t>Adherence of soil to skin</t>
  </si>
  <si>
    <t>sys_KeyOperator</t>
  </si>
  <si>
    <t>Variables for operator exposure lookup key</t>
  </si>
  <si>
    <t>sys_OperatorModel</t>
  </si>
  <si>
    <t>Operator model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</si>
</sst>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164" formatCode="_-* #,##0.00\ [$€]_-;\-* #,##0.00\ [$€]_-;_-* \-??\ [$€]_-;_-@_-"/>
    <numFmt numFmtId="165" formatCode="0.0000"/>
    <numFmt numFmtId="166" formatCode="0.0"/>
    <numFmt numFmtId="167" formatCode="0.0000000"/>
    <numFmt numFmtId="168" formatCode="0.00000"/>
    <numFmt numFmtId="169" formatCode="0.0%"/>
    <numFmt numFmtId="170" formatCode="0.000"/>
    <numFmt numFmtId="171" formatCode="0E+00"/>
    <numFmt numFmtId="172" formatCode="0.000%"/>
    <numFmt numFmtId="173" formatCode="0.0000%"/>
    <numFmt numFmtId="174" formatCode="0.00000000000"/>
    <numFmt numFmtId="175" formatCode="0.0000000000"/>
  </numFmts>
  <fonts count="78">
    <font>
      <sz val="11"/>
      <color rgb="FF000000"/>
      <name val="Calibri"/>
      <family val="2"/>
      <charset val="1"/>
    </font>
    <font>
      <sz val="11"/>
      <color rgb="FFFFFFFF"/>
      <name val="Calibri"/>
      <family val="2"/>
      <charset val="1"/>
    </font>
    <font>
      <sz val="11"/>
      <color rgb="FF800080"/>
      <name val="Calibri"/>
      <family val="2"/>
      <charset val="1"/>
    </font>
    <font>
      <b/>
      <sz val="11"/>
      <color rgb="FFFF9900"/>
      <name val="Calibri"/>
      <family val="2"/>
      <charset val="1"/>
    </font>
    <font>
      <b/>
      <sz val="11"/>
      <color rgb="FFFFFFFF"/>
      <name val="Calibri"/>
      <family val="2"/>
      <charset val="1"/>
    </font>
    <font>
      <i/>
      <sz val="11"/>
      <color rgb="FF808080"/>
      <name val="Calibri"/>
      <family val="2"/>
      <charset val="1"/>
    </font>
    <font>
      <sz val="11"/>
      <color rgb="FF008000"/>
      <name val="Calibri"/>
      <family val="2"/>
      <charset val="1"/>
    </font>
    <font>
      <b/>
      <sz val="15"/>
      <color rgb="FF003366"/>
      <name val="Calibri"/>
      <family val="2"/>
      <charset val="1"/>
    </font>
    <font>
      <b/>
      <sz val="13"/>
      <color rgb="FF003366"/>
      <name val="Calibri"/>
      <family val="2"/>
      <charset val="1"/>
    </font>
    <font>
      <b/>
      <sz val="11"/>
      <color rgb="FF003366"/>
      <name val="Calibri"/>
      <family val="2"/>
      <charset val="1"/>
    </font>
    <font>
      <sz val="11"/>
      <color rgb="FF333399"/>
      <name val="Calibri"/>
      <family val="2"/>
      <charset val="1"/>
    </font>
    <font>
      <sz val="11"/>
      <color rgb="FFFF9900"/>
      <name val="Calibri"/>
      <family val="2"/>
      <charset val="1"/>
    </font>
    <font>
      <sz val="11"/>
      <color rgb="FF993300"/>
      <name val="Calibri"/>
      <family val="2"/>
      <charset val="1"/>
    </font>
    <font>
      <sz val="10"/>
      <name val="Arial"/>
      <family val="2"/>
      <charset val="1"/>
    </font>
    <font>
      <sz val="10"/>
      <color rgb="FF000000"/>
      <name val="Arial"/>
      <family val="2"/>
      <charset val="1"/>
    </font>
    <font>
      <sz val="10"/>
      <name val="MS Sans Serif"/>
      <family val="2"/>
      <charset val="1"/>
    </font>
    <font>
      <b/>
      <sz val="11"/>
      <color rgb="FF333333"/>
      <name val="Calibri"/>
      <family val="2"/>
      <charset val="1"/>
    </font>
    <font>
      <b/>
      <sz val="18"/>
      <color rgb="FF003366"/>
      <name val="Cambria"/>
      <family val="2"/>
      <charset val="1"/>
    </font>
    <font>
      <b/>
      <sz val="11"/>
      <color rgb="FF000000"/>
      <name val="Calibri"/>
      <family val="2"/>
      <charset val="1"/>
    </font>
    <font>
      <sz val="11"/>
      <color rgb="FFFF0000"/>
      <name val="Calibri"/>
      <family val="2"/>
      <charset val="1"/>
    </font>
    <font>
      <i/>
      <sz val="11"/>
      <color rgb="FF000000"/>
      <name val="Calibri"/>
      <family val="2"/>
      <charset val="1"/>
    </font>
    <font>
      <b/>
      <sz val="11"/>
      <color rgb="FFFF0000"/>
      <name val="Calibri"/>
      <family val="2"/>
      <charset val="1"/>
    </font>
    <font>
      <sz val="11"/>
      <color rgb="FF3F3F76"/>
      <name val="Calibri"/>
      <family val="2"/>
      <charset val="1"/>
    </font>
    <font>
      <sz val="11"/>
      <name val="Calibri"/>
      <family val="2"/>
      <charset val="1"/>
    </font>
    <font>
      <sz val="9"/>
      <color rgb="FF000000"/>
      <name val="Calibri"/>
      <family val="2"/>
      <charset val="1"/>
    </font>
    <font>
      <b/>
      <sz val="14"/>
      <color rgb="FF000000"/>
      <name val="Calibri"/>
      <family val="2"/>
      <charset val="1"/>
    </font>
    <font>
      <i/>
      <sz val="10"/>
      <color rgb="FF000000"/>
      <name val="Calibri"/>
      <family val="2"/>
      <charset val="1"/>
    </font>
    <font>
      <b/>
      <sz val="11"/>
      <color rgb="FF77933C"/>
      <name val="Calibri"/>
      <family val="2"/>
      <charset val="1"/>
    </font>
    <font>
      <vertAlign val="superscript"/>
      <sz val="11"/>
      <color rgb="FF000000"/>
      <name val="Calibri"/>
      <family val="2"/>
      <charset val="1"/>
    </font>
    <font>
      <b/>
      <sz val="11"/>
      <color rgb="FF3F3F3F"/>
      <name val="Calibri"/>
      <family val="2"/>
      <charset val="1"/>
    </font>
    <font>
      <sz val="11"/>
      <color rgb="FF3F3F3F"/>
      <name val="Calibri"/>
      <family val="2"/>
      <charset val="1"/>
    </font>
    <font>
      <b/>
      <sz val="11"/>
      <color rgb="FFFA7D00"/>
      <name val="Calibri"/>
      <family val="2"/>
      <charset val="1"/>
    </font>
    <font>
      <b/>
      <sz val="11"/>
      <color rgb="FF984807"/>
      <name val="Calibri"/>
      <family val="2"/>
      <charset val="1"/>
    </font>
    <font>
      <b/>
      <sz val="11"/>
      <name val="Calibri"/>
      <family val="2"/>
      <charset val="1"/>
    </font>
    <font>
      <i/>
      <sz val="11"/>
      <color rgb="FF7F7F7F"/>
      <name val="Calibri"/>
      <family val="2"/>
      <charset val="1"/>
    </font>
    <font>
      <i/>
      <sz val="10"/>
      <color rgb="FF3F3F3F"/>
      <name val="Calibri"/>
      <family val="2"/>
      <charset val="1"/>
    </font>
    <font>
      <b/>
      <sz val="9"/>
      <color rgb="FF000000"/>
      <name val="Tahoma"/>
      <family val="2"/>
      <charset val="1"/>
    </font>
    <font>
      <i/>
      <sz val="9"/>
      <color rgb="FF000000"/>
      <name val="Calibri"/>
      <family val="2"/>
      <charset val="1"/>
    </font>
    <font>
      <sz val="10"/>
      <color rgb="FF000000"/>
      <name val="Calibri"/>
      <family val="2"/>
      <charset val="1"/>
    </font>
    <font>
      <sz val="11"/>
      <color rgb="FF000000"/>
      <name val="Calibri"/>
      <family val="2"/>
      <charset val="1"/>
    </font>
    <font>
      <sz val="11"/>
      <color rgb="FF000000"/>
      <name val="Calibri"/>
      <family val="2"/>
    </font>
    <font>
      <b/>
      <sz val="11"/>
      <color rgb="FF000000"/>
      <name val="Calibri"/>
      <family val="2"/>
    </font>
    <font>
      <sz val="8"/>
      <name val="Calibri"/>
      <family val="2"/>
      <charset val="1"/>
    </font>
    <font>
      <i/>
      <sz val="11"/>
      <color rgb="FF000000"/>
      <name val="Calibri"/>
      <family val="2"/>
    </font>
    <font>
      <sz val="11"/>
      <color theme="9" tint="-0.249977111117893"/>
      <name val="Calibri"/>
      <family val="2"/>
    </font>
    <font>
      <b/>
      <sz val="14"/>
      <name val="Calibri"/>
      <family val="2"/>
    </font>
    <font>
      <b/>
      <sz val="14"/>
      <color rgb="FF3F3F3F"/>
      <name val="Calibri"/>
      <family val="2"/>
    </font>
    <font>
      <sz val="11"/>
      <color theme="1"/>
      <name val="Calibri"/>
      <family val="2"/>
    </font>
    <font>
      <sz val="10"/>
      <color theme="1"/>
      <name val="Calibri"/>
      <family val="2"/>
    </font>
    <font>
      <b/>
      <sz val="11"/>
      <color rgb="FF3F3F3F"/>
      <name val="Calibri"/>
      <family val="2"/>
      <scheme val="minor"/>
    </font>
    <font>
      <sz val="10"/>
      <color rgb="FF3F3F3F"/>
      <name val="Calibri"/>
      <family val="2"/>
      <scheme val="minor"/>
    </font>
    <font>
      <b/>
      <sz val="16"/>
      <color rgb="FFFF0000"/>
      <name val="Calibri"/>
      <family val="2"/>
    </font>
    <font>
      <sz val="10"/>
      <color rgb="FFFF0000"/>
      <name val="Calibri"/>
      <family val="2"/>
      <charset val="1"/>
    </font>
    <font>
      <b/>
      <sz val="11"/>
      <color rgb="FF3F3F3F"/>
      <name val="Calibri"/>
      <family val="2"/>
    </font>
    <font>
      <sz val="11"/>
      <color rgb="FFFFFFCC"/>
      <name val="Calibri"/>
      <family val="2"/>
      <charset val="1"/>
    </font>
    <font>
      <b/>
      <sz val="11"/>
      <color rgb="FFFF0000"/>
      <name val="Calibri"/>
      <family val="2"/>
    </font>
    <font>
      <sz val="11"/>
      <name val="Calibri"/>
      <family val="2"/>
    </font>
    <font>
      <i/>
      <sz val="10"/>
      <name val="Calibri"/>
      <family val="2"/>
    </font>
    <font>
      <sz val="9"/>
      <name val="Calibri"/>
      <family val="2"/>
    </font>
    <font>
      <b/>
      <sz val="11"/>
      <name val="Calibri"/>
      <family val="2"/>
    </font>
    <font>
      <b/>
      <sz val="11"/>
      <color theme="9" tint="-0.249977111117893"/>
      <name val="Calibri"/>
      <family val="2"/>
      <charset val="1"/>
    </font>
    <font>
      <i/>
      <sz val="11"/>
      <name val="Calibri"/>
      <family val="2"/>
    </font>
    <font>
      <b/>
      <sz val="16"/>
      <color rgb="FF000000"/>
      <name val="Calibri"/>
      <family val="2"/>
    </font>
    <font>
      <b/>
      <sz val="9"/>
      <name val="Calibri"/>
      <family val="2"/>
    </font>
    <font>
      <sz val="9"/>
      <color indexed="81"/>
      <name val="Segoe UI"/>
      <family val="2"/>
    </font>
    <font>
      <b/>
      <sz val="9"/>
      <color indexed="81"/>
      <name val="Segoe UI"/>
      <family val="2"/>
    </font>
    <font>
      <b/>
      <sz val="11"/>
      <color theme="9" tint="-0.249977111117893"/>
      <name val="Calibri"/>
      <family val="2"/>
    </font>
    <font>
      <sz val="8"/>
      <color theme="0" tint="-0.34998626667073579"/>
      <name val="Calibri"/>
      <family val="2"/>
      <charset val="1"/>
    </font>
    <font>
      <b/>
      <sz val="8"/>
      <color theme="0" tint="-0.34998626667073579"/>
      <name val="Calibri"/>
      <family val="2"/>
      <charset val="1"/>
    </font>
    <font>
      <b/>
      <sz val="14"/>
      <color rgb="FF000000"/>
      <name val="Calibri"/>
      <family val="2"/>
    </font>
    <font>
      <sz val="11"/>
      <color rgb="FF3F3F76"/>
      <name val="Calibri"/>
      <family val="2"/>
    </font>
    <font>
      <sz val="11"/>
      <color theme="0"/>
      <name val="Calibri"/>
      <family val="2"/>
      <charset val="1"/>
    </font>
    <font>
      <vertAlign val="superscript"/>
      <sz val="11"/>
      <color rgb="FF000000"/>
      <name val="Calibri"/>
      <family val="2"/>
    </font>
    <font>
      <vertAlign val="superscript"/>
      <sz val="8"/>
      <color theme="0" tint="-0.34998626667073579"/>
      <name val="Calibri"/>
      <family val="2"/>
    </font>
    <font>
      <b/>
      <sz val="12"/>
      <color rgb="FFFF0000"/>
      <name val="Calibri"/>
      <family val="2"/>
    </font>
    <font>
      <b/>
      <sz val="9"/>
      <color rgb="FFFF0000"/>
      <name val="Calibri"/>
      <family val="2"/>
    </font>
    <font>
      <b/>
      <sz val="10"/>
      <color rgb="FFFF0000"/>
      <name val="Calibri"/>
      <family val="2"/>
    </font>
    <font>
      <b/>
      <i/>
      <sz val="10"/>
      <color rgb="FF000000"/>
      <name val="Calibri"/>
      <family val="2"/>
    </font>
  </fonts>
  <fills count="34">
    <fill>
      <patternFill patternType="none"/>
    </fill>
    <fill>
      <patternFill patternType="gray125"/>
    </fill>
    <fill>
      <patternFill patternType="solid">
        <fgColor rgb="FFCCCCFF"/>
        <bgColor rgb="FFC0C0C0"/>
      </patternFill>
    </fill>
    <fill>
      <patternFill patternType="solid">
        <fgColor rgb="FFFF99CC"/>
        <bgColor rgb="FFFF8080"/>
      </patternFill>
    </fill>
    <fill>
      <patternFill patternType="solid">
        <fgColor rgb="FFCCFFCC"/>
        <bgColor rgb="FFCCFFFF"/>
      </patternFill>
    </fill>
    <fill>
      <patternFill patternType="solid">
        <fgColor rgb="FFCC99FF"/>
        <bgColor rgb="FF9999FF"/>
      </patternFill>
    </fill>
    <fill>
      <patternFill patternType="solid">
        <fgColor rgb="FFCCFFFF"/>
        <bgColor rgb="FFCCFFCC"/>
      </patternFill>
    </fill>
    <fill>
      <patternFill patternType="solid">
        <fgColor rgb="FFFFCC99"/>
        <bgColor rgb="FFD7E4BD"/>
      </patternFill>
    </fill>
    <fill>
      <patternFill patternType="solid">
        <fgColor rgb="FF99CCFF"/>
        <bgColor rgb="FFCCCCFF"/>
      </patternFill>
    </fill>
    <fill>
      <patternFill patternType="solid">
        <fgColor rgb="FFFF8080"/>
        <bgColor rgb="FFFF99CC"/>
      </patternFill>
    </fill>
    <fill>
      <patternFill patternType="solid">
        <fgColor rgb="FF00FF00"/>
        <bgColor rgb="FF33CCCC"/>
      </patternFill>
    </fill>
    <fill>
      <patternFill patternType="solid">
        <fgColor rgb="FFFFCC00"/>
        <bgColor rgb="FFFFFF00"/>
      </patternFill>
    </fill>
    <fill>
      <patternFill patternType="solid">
        <fgColor rgb="FF0066CC"/>
        <bgColor rgb="FF008080"/>
      </patternFill>
    </fill>
    <fill>
      <patternFill patternType="solid">
        <fgColor rgb="FF800080"/>
        <bgColor rgb="FF800080"/>
      </patternFill>
    </fill>
    <fill>
      <patternFill patternType="solid">
        <fgColor rgb="FF33CCCC"/>
        <bgColor rgb="FF00CCFF"/>
      </patternFill>
    </fill>
    <fill>
      <patternFill patternType="solid">
        <fgColor rgb="FFFF9900"/>
        <bgColor rgb="FFFA7D00"/>
      </patternFill>
    </fill>
    <fill>
      <patternFill patternType="solid">
        <fgColor rgb="FF333399"/>
        <bgColor rgb="FF3F3F76"/>
      </patternFill>
    </fill>
    <fill>
      <patternFill patternType="solid">
        <fgColor rgb="FFFF0000"/>
        <bgColor rgb="FF993300"/>
      </patternFill>
    </fill>
    <fill>
      <patternFill patternType="solid">
        <fgColor rgb="FF339966"/>
        <bgColor rgb="FF008080"/>
      </patternFill>
    </fill>
    <fill>
      <patternFill patternType="solid">
        <fgColor rgb="FFFF6600"/>
        <bgColor rgb="FFFA7D00"/>
      </patternFill>
    </fill>
    <fill>
      <patternFill patternType="solid">
        <fgColor rgb="FFC0C0C0"/>
        <bgColor rgb="FFCCCCFF"/>
      </patternFill>
    </fill>
    <fill>
      <patternFill patternType="solid">
        <fgColor rgb="FF969696"/>
        <bgColor rgb="FF808080"/>
      </patternFill>
    </fill>
    <fill>
      <patternFill patternType="solid">
        <fgColor rgb="FFFFFF99"/>
        <bgColor rgb="FFFFFFCC"/>
      </patternFill>
    </fill>
    <fill>
      <patternFill patternType="solid">
        <fgColor rgb="FFFFFFCC"/>
        <bgColor rgb="FFFFFFFF"/>
      </patternFill>
    </fill>
    <fill>
      <patternFill patternType="solid">
        <fgColor rgb="FFF2F2F2"/>
        <bgColor rgb="FFFFFFFF"/>
      </patternFill>
    </fill>
    <fill>
      <patternFill patternType="solid">
        <fgColor rgb="FFFFFFFF"/>
        <bgColor rgb="FFF2F2F2"/>
      </patternFill>
    </fill>
    <fill>
      <patternFill patternType="solid">
        <fgColor rgb="FFD7E4BD"/>
        <bgColor rgb="FFCCFFCC"/>
      </patternFill>
    </fill>
    <fill>
      <patternFill patternType="solid">
        <fgColor rgb="FFF2F2F2"/>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theme="9" tint="0.59999389629810485"/>
        <bgColor indexed="64"/>
      </patternFill>
    </fill>
    <fill>
      <patternFill patternType="solid">
        <fgColor theme="5" tint="0.79998168889431442"/>
        <bgColor indexed="64"/>
      </patternFill>
    </fill>
    <fill>
      <patternFill patternType="solid">
        <fgColor rgb="FFFFFFCC"/>
        <bgColor indexed="64"/>
      </patternFill>
    </fill>
  </fills>
  <borders count="110">
    <border>
      <left/>
      <right/>
      <top/>
      <bottom/>
      <diagonal/>
    </border>
    <border>
      <left style="thin">
        <color rgb="FF808080"/>
      </left>
      <right style="thin">
        <color rgb="FF808080"/>
      </right>
      <top style="thin">
        <color rgb="FF808080"/>
      </top>
      <bottom style="thin">
        <color rgb="FF808080"/>
      </bottom>
      <diagonal/>
    </border>
    <border>
      <left style="double">
        <color rgb="FF333333"/>
      </left>
      <right style="double">
        <color rgb="FF333333"/>
      </right>
      <top style="double">
        <color rgb="FF333333"/>
      </top>
      <bottom style="double">
        <color rgb="FF333333"/>
      </bottom>
      <diagonal/>
    </border>
    <border>
      <left/>
      <right/>
      <top/>
      <bottom style="thick">
        <color rgb="FF333399"/>
      </bottom>
      <diagonal/>
    </border>
    <border>
      <left/>
      <right/>
      <top/>
      <bottom style="thick">
        <color rgb="FFC0C0C0"/>
      </bottom>
      <diagonal/>
    </border>
    <border>
      <left/>
      <right/>
      <top/>
      <bottom style="medium">
        <color rgb="FF0066CC"/>
      </bottom>
      <diagonal/>
    </border>
    <border>
      <left/>
      <right/>
      <top/>
      <bottom style="double">
        <color rgb="FFFF9900"/>
      </bottom>
      <diagonal/>
    </border>
    <border>
      <left style="thin">
        <color rgb="FFC0C0C0"/>
      </left>
      <right style="thin">
        <color rgb="FFC0C0C0"/>
      </right>
      <top style="thin">
        <color rgb="FFC0C0C0"/>
      </top>
      <bottom style="thin">
        <color rgb="FFC0C0C0"/>
      </bottom>
      <diagonal/>
    </border>
    <border>
      <left style="thin">
        <color rgb="FF333333"/>
      </left>
      <right style="thin">
        <color rgb="FF333333"/>
      </right>
      <top style="thin">
        <color rgb="FF333333"/>
      </top>
      <bottom style="thin">
        <color rgb="FF333333"/>
      </bottom>
      <diagonal/>
    </border>
    <border>
      <left/>
      <right/>
      <top style="thin">
        <color rgb="FF333399"/>
      </top>
      <bottom style="double">
        <color rgb="FF333399"/>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style="thin">
        <color auto="1"/>
      </left>
      <right style="thin">
        <color auto="1"/>
      </right>
      <top style="thin">
        <color auto="1"/>
      </top>
      <bottom/>
      <diagonal/>
    </border>
    <border>
      <left/>
      <right style="medium">
        <color auto="1"/>
      </right>
      <top/>
      <bottom/>
      <diagonal/>
    </border>
    <border>
      <left style="thin">
        <color auto="1"/>
      </left>
      <right style="thin">
        <color auto="1"/>
      </right>
      <top style="thin">
        <color auto="1"/>
      </top>
      <bottom style="thin">
        <color auto="1"/>
      </bottom>
      <diagonal/>
    </border>
    <border>
      <left style="medium">
        <color auto="1"/>
      </left>
      <right style="medium">
        <color auto="1"/>
      </right>
      <top style="medium">
        <color auto="1"/>
      </top>
      <bottom style="medium">
        <color auto="1"/>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
      <left style="thin">
        <color auto="1"/>
      </left>
      <right/>
      <top style="thin">
        <color auto="1"/>
      </top>
      <bottom/>
      <diagonal/>
    </border>
    <border>
      <left style="medium">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medium">
        <color auto="1"/>
      </right>
      <top style="thin">
        <color auto="1"/>
      </top>
      <bottom/>
      <diagonal/>
    </border>
    <border>
      <left style="thin">
        <color auto="1"/>
      </left>
      <right/>
      <top style="medium">
        <color auto="1"/>
      </top>
      <bottom style="thin">
        <color auto="1"/>
      </bottom>
      <diagonal/>
    </border>
    <border>
      <left style="medium">
        <color auto="1"/>
      </left>
      <right style="thin">
        <color auto="1"/>
      </right>
      <top/>
      <bottom style="thin">
        <color auto="1"/>
      </bottom>
      <diagonal/>
    </border>
    <border>
      <left style="thin">
        <color auto="1"/>
      </left>
      <right style="medium">
        <color auto="1"/>
      </right>
      <top/>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bottom style="medium">
        <color auto="1"/>
      </bottom>
      <diagonal/>
    </border>
    <border>
      <left style="medium">
        <color auto="1"/>
      </left>
      <right style="medium">
        <color auto="1"/>
      </right>
      <top style="medium">
        <color auto="1"/>
      </top>
      <bottom style="thin">
        <color auto="1"/>
      </bottom>
      <diagonal/>
    </border>
    <border>
      <left/>
      <right style="thin">
        <color auto="1"/>
      </right>
      <top style="medium">
        <color auto="1"/>
      </top>
      <bottom style="thin">
        <color auto="1"/>
      </bottom>
      <diagonal/>
    </border>
    <border>
      <left style="thin">
        <color auto="1"/>
      </left>
      <right style="medium">
        <color auto="1"/>
      </right>
      <top style="thin">
        <color auto="1"/>
      </top>
      <bottom style="medium">
        <color auto="1"/>
      </bottom>
      <diagonal/>
    </border>
    <border>
      <left/>
      <right style="thin">
        <color auto="1"/>
      </right>
      <top style="thin">
        <color auto="1"/>
      </top>
      <bottom style="medium">
        <color auto="1"/>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medium">
        <color auto="1"/>
      </left>
      <right/>
      <top style="medium">
        <color auto="1"/>
      </top>
      <bottom style="thin">
        <color auto="1"/>
      </bottom>
      <diagonal/>
    </border>
    <border>
      <left/>
      <right/>
      <top style="medium">
        <color auto="1"/>
      </top>
      <bottom style="thin">
        <color auto="1"/>
      </bottom>
      <diagonal/>
    </border>
    <border>
      <left style="medium">
        <color auto="1"/>
      </left>
      <right/>
      <top style="thin">
        <color auto="1"/>
      </top>
      <bottom style="thin">
        <color auto="1"/>
      </bottom>
      <diagonal/>
    </border>
    <border>
      <left style="medium">
        <color auto="1"/>
      </left>
      <right/>
      <top/>
      <bottom style="thin">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right style="medium">
        <color auto="1"/>
      </right>
      <top style="medium">
        <color auto="1"/>
      </top>
      <bottom style="thin">
        <color auto="1"/>
      </bottom>
      <diagonal/>
    </border>
    <border>
      <left/>
      <right style="medium">
        <color auto="1"/>
      </right>
      <top style="thin">
        <color auto="1"/>
      </top>
      <bottom style="thin">
        <color auto="1"/>
      </bottom>
      <diagonal/>
    </border>
    <border>
      <left style="thin">
        <color auto="1"/>
      </left>
      <right style="medium">
        <color auto="1"/>
      </right>
      <top style="medium">
        <color auto="1"/>
      </top>
      <bottom/>
      <diagonal/>
    </border>
    <border>
      <left style="thin">
        <color auto="1"/>
      </left>
      <right/>
      <top style="thin">
        <color auto="1"/>
      </top>
      <bottom style="medium">
        <color auto="1"/>
      </bottom>
      <diagonal/>
    </border>
    <border>
      <left/>
      <right style="medium">
        <color auto="1"/>
      </right>
      <top style="thin">
        <color auto="1"/>
      </top>
      <bottom style="medium">
        <color auto="1"/>
      </bottom>
      <diagonal/>
    </border>
    <border>
      <left style="thick">
        <color auto="1"/>
      </left>
      <right/>
      <top style="thick">
        <color auto="1"/>
      </top>
      <bottom/>
      <diagonal/>
    </border>
    <border>
      <left style="thick">
        <color auto="1"/>
      </left>
      <right/>
      <top/>
      <bottom/>
      <diagonal/>
    </border>
    <border>
      <left style="thick">
        <color auto="1"/>
      </left>
      <right/>
      <top/>
      <bottom style="thick">
        <color auto="1"/>
      </bottom>
      <diagonal/>
    </border>
    <border>
      <left style="medium">
        <color auto="1"/>
      </left>
      <right/>
      <top style="medium">
        <color auto="1"/>
      </top>
      <bottom style="medium">
        <color auto="1"/>
      </bottom>
      <diagonal/>
    </border>
    <border>
      <left style="thin">
        <color theme="9" tint="0.39997558519241921"/>
      </left>
      <right/>
      <top style="thin">
        <color theme="9" tint="0.39997558519241921"/>
      </top>
      <bottom style="thin">
        <color theme="9" tint="0.39997558519241921"/>
      </bottom>
      <diagonal/>
    </border>
    <border>
      <left style="thin">
        <color theme="9" tint="0.39997558519241921"/>
      </left>
      <right/>
      <top style="thin">
        <color theme="9" tint="0.39997558519241921"/>
      </top>
      <bottom/>
      <diagonal/>
    </border>
    <border>
      <left style="thin">
        <color auto="1"/>
      </left>
      <right style="thin">
        <color auto="1"/>
      </right>
      <top/>
      <bottom style="thin">
        <color auto="1"/>
      </bottom>
      <diagonal/>
    </border>
    <border>
      <left/>
      <right style="medium">
        <color indexed="64"/>
      </right>
      <top style="medium">
        <color indexed="64"/>
      </top>
      <bottom style="medium">
        <color auto="1"/>
      </bottom>
      <diagonal/>
    </border>
    <border>
      <left/>
      <right style="medium">
        <color auto="1"/>
      </right>
      <top style="thin">
        <color auto="1"/>
      </top>
      <bottom/>
      <diagonal/>
    </border>
    <border>
      <left/>
      <right style="thin">
        <color auto="1"/>
      </right>
      <top style="medium">
        <color auto="1"/>
      </top>
      <bottom/>
      <diagonal/>
    </border>
    <border>
      <left style="thin">
        <color auto="1"/>
      </left>
      <right style="medium">
        <color indexed="64"/>
      </right>
      <top style="medium">
        <color auto="1"/>
      </top>
      <bottom style="medium">
        <color indexed="64"/>
      </bottom>
      <diagonal/>
    </border>
    <border>
      <left style="thin">
        <color auto="1"/>
      </left>
      <right style="medium">
        <color auto="1"/>
      </right>
      <top/>
      <bottom style="thin">
        <color auto="1"/>
      </bottom>
      <diagonal/>
    </border>
    <border>
      <left/>
      <right style="medium">
        <color auto="1"/>
      </right>
      <top/>
      <bottom style="thin">
        <color auto="1"/>
      </bottom>
      <diagonal/>
    </border>
    <border>
      <left/>
      <right/>
      <top style="medium">
        <color auto="1"/>
      </top>
      <bottom style="medium">
        <color auto="1"/>
      </bottom>
      <diagonal/>
    </border>
    <border>
      <left style="medium">
        <color indexed="64"/>
      </left>
      <right style="medium">
        <color indexed="64"/>
      </right>
      <top style="thin">
        <color auto="1"/>
      </top>
      <bottom/>
      <diagonal/>
    </border>
    <border>
      <left style="medium">
        <color indexed="64"/>
      </left>
      <right style="thin">
        <color auto="1"/>
      </right>
      <top style="medium">
        <color auto="1"/>
      </top>
      <bottom/>
      <diagonal/>
    </border>
    <border>
      <left style="medium">
        <color indexed="64"/>
      </left>
      <right style="medium">
        <color indexed="64"/>
      </right>
      <top style="thin">
        <color auto="1"/>
      </top>
      <bottom style="thin">
        <color auto="1"/>
      </bottom>
      <diagonal/>
    </border>
    <border>
      <left style="medium">
        <color indexed="64"/>
      </left>
      <right style="medium">
        <color indexed="64"/>
      </right>
      <top style="thin">
        <color auto="1"/>
      </top>
      <bottom style="medium">
        <color auto="1"/>
      </bottom>
      <diagonal/>
    </border>
    <border>
      <left style="medium">
        <color indexed="64"/>
      </left>
      <right style="thin">
        <color auto="1"/>
      </right>
      <top/>
      <bottom style="medium">
        <color indexed="64"/>
      </bottom>
      <diagonal/>
    </border>
    <border>
      <left style="thin">
        <color auto="1"/>
      </left>
      <right style="thin">
        <color auto="1"/>
      </right>
      <top/>
      <bottom style="medium">
        <color auto="1"/>
      </bottom>
      <diagonal/>
    </border>
    <border>
      <left style="medium">
        <color auto="1"/>
      </left>
      <right style="medium">
        <color auto="1"/>
      </right>
      <top/>
      <bottom style="thin">
        <color indexed="64"/>
      </bottom>
      <diagonal/>
    </border>
    <border>
      <left style="thin">
        <color auto="1"/>
      </left>
      <right/>
      <top/>
      <bottom style="medium">
        <color auto="1"/>
      </bottom>
      <diagonal/>
    </border>
    <border>
      <left style="medium">
        <color auto="1"/>
      </left>
      <right/>
      <top style="thin">
        <color auto="1"/>
      </top>
      <bottom style="dashed">
        <color auto="1"/>
      </bottom>
      <diagonal/>
    </border>
    <border>
      <left/>
      <right/>
      <top style="thin">
        <color auto="1"/>
      </top>
      <bottom style="dashed">
        <color auto="1"/>
      </bottom>
      <diagonal/>
    </border>
    <border>
      <left/>
      <right style="medium">
        <color auto="1"/>
      </right>
      <top style="thin">
        <color auto="1"/>
      </top>
      <bottom style="dashed">
        <color auto="1"/>
      </bottom>
      <diagonal/>
    </border>
    <border>
      <left style="medium">
        <color auto="1"/>
      </left>
      <right/>
      <top style="dashed">
        <color auto="1"/>
      </top>
      <bottom style="dashed">
        <color auto="1"/>
      </bottom>
      <diagonal/>
    </border>
    <border>
      <left/>
      <right/>
      <top style="dashed">
        <color auto="1"/>
      </top>
      <bottom style="dashed">
        <color auto="1"/>
      </bottom>
      <diagonal/>
    </border>
    <border>
      <left/>
      <right style="medium">
        <color auto="1"/>
      </right>
      <top style="dashed">
        <color auto="1"/>
      </top>
      <bottom style="dashed">
        <color auto="1"/>
      </bottom>
      <diagonal/>
    </border>
    <border>
      <left style="medium">
        <color auto="1"/>
      </left>
      <right/>
      <top style="dashed">
        <color auto="1"/>
      </top>
      <bottom style="thin">
        <color auto="1"/>
      </bottom>
      <diagonal/>
    </border>
    <border>
      <left/>
      <right/>
      <top style="dashed">
        <color auto="1"/>
      </top>
      <bottom style="thin">
        <color auto="1"/>
      </bottom>
      <diagonal/>
    </border>
    <border>
      <left/>
      <right style="medium">
        <color auto="1"/>
      </right>
      <top style="dashed">
        <color auto="1"/>
      </top>
      <bottom style="thin">
        <color auto="1"/>
      </bottom>
      <diagonal/>
    </border>
    <border>
      <left style="medium">
        <color auto="1"/>
      </left>
      <right/>
      <top style="dashed">
        <color auto="1"/>
      </top>
      <bottom style="medium">
        <color indexed="64"/>
      </bottom>
      <diagonal/>
    </border>
    <border>
      <left/>
      <right/>
      <top style="dashed">
        <color auto="1"/>
      </top>
      <bottom style="medium">
        <color indexed="64"/>
      </bottom>
      <diagonal/>
    </border>
    <border>
      <left/>
      <right style="medium">
        <color auto="1"/>
      </right>
      <top style="dashed">
        <color auto="1"/>
      </top>
      <bottom style="medium">
        <color indexed="64"/>
      </bottom>
      <diagonal/>
    </border>
    <border>
      <left style="medium">
        <color auto="1"/>
      </left>
      <right/>
      <top style="dashed">
        <color auto="1"/>
      </top>
      <bottom/>
      <diagonal/>
    </border>
    <border>
      <left/>
      <right/>
      <top style="dashed">
        <color auto="1"/>
      </top>
      <bottom/>
      <diagonal/>
    </border>
    <border>
      <left/>
      <right style="medium">
        <color auto="1"/>
      </right>
      <top style="dashed">
        <color auto="1"/>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indexed="64"/>
      </top>
      <bottom style="medium">
        <color indexed="64"/>
      </bottom>
      <diagonal/>
    </border>
    <border>
      <left/>
      <right/>
      <top style="thin">
        <color theme="9" tint="0.39997558519241921"/>
      </top>
      <bottom/>
      <diagonal/>
    </border>
    <border>
      <left style="thin">
        <color auto="1"/>
      </left>
      <right style="thin">
        <color auto="1"/>
      </right>
      <top/>
      <bottom/>
      <diagonal/>
    </border>
    <border>
      <left style="medium">
        <color auto="1"/>
      </left>
      <right/>
      <top/>
      <bottom style="dashed">
        <color auto="1"/>
      </bottom>
      <diagonal/>
    </border>
    <border>
      <left/>
      <right/>
      <top/>
      <bottom style="dashed">
        <color auto="1"/>
      </bottom>
      <diagonal/>
    </border>
    <border>
      <left/>
      <right style="medium">
        <color auto="1"/>
      </right>
      <top/>
      <bottom style="dashed">
        <color auto="1"/>
      </bottom>
      <diagonal/>
    </border>
  </borders>
  <cellStyleXfs count="87">
    <xf numFmtId="0" fontId="0" fillId="0" borderId="0"/>
    <xf numFmtId="0" fontId="39" fillId="2" borderId="0" applyBorder="0" applyProtection="0"/>
    <xf numFmtId="0" fontId="39" fillId="2" borderId="0" applyBorder="0" applyProtection="0"/>
    <xf numFmtId="0" fontId="39" fillId="2" borderId="0" applyBorder="0" applyProtection="0"/>
    <xf numFmtId="0" fontId="39" fillId="3" borderId="0" applyBorder="0" applyProtection="0"/>
    <xf numFmtId="0" fontId="39" fillId="3" borderId="0" applyBorder="0" applyProtection="0"/>
    <xf numFmtId="0" fontId="39" fillId="3" borderId="0" applyBorder="0" applyProtection="0"/>
    <xf numFmtId="0" fontId="39" fillId="4" borderId="0" applyBorder="0" applyProtection="0"/>
    <xf numFmtId="0" fontId="39" fillId="4" borderId="0" applyBorder="0" applyProtection="0"/>
    <xf numFmtId="0" fontId="39" fillId="4" borderId="0" applyBorder="0" applyProtection="0"/>
    <xf numFmtId="0" fontId="39" fillId="5" borderId="0" applyBorder="0" applyProtection="0"/>
    <xf numFmtId="0" fontId="39" fillId="5" borderId="0" applyBorder="0" applyProtection="0"/>
    <xf numFmtId="0" fontId="39" fillId="5" borderId="0" applyBorder="0" applyProtection="0"/>
    <xf numFmtId="0" fontId="39" fillId="6" borderId="0" applyBorder="0" applyProtection="0"/>
    <xf numFmtId="0" fontId="39" fillId="6" borderId="0" applyBorder="0" applyProtection="0"/>
    <xf numFmtId="0" fontId="39" fillId="6" borderId="0" applyBorder="0" applyProtection="0"/>
    <xf numFmtId="0" fontId="39" fillId="7" borderId="0" applyBorder="0" applyProtection="0"/>
    <xf numFmtId="0" fontId="39" fillId="7" borderId="0" applyBorder="0" applyProtection="0"/>
    <xf numFmtId="0" fontId="39" fillId="7" borderId="0" applyBorder="0" applyProtection="0"/>
    <xf numFmtId="0" fontId="39" fillId="8" borderId="0" applyBorder="0" applyProtection="0"/>
    <xf numFmtId="0" fontId="39" fillId="8" borderId="0" applyBorder="0" applyProtection="0"/>
    <xf numFmtId="0" fontId="39" fillId="8" borderId="0" applyBorder="0" applyProtection="0"/>
    <xf numFmtId="0" fontId="39" fillId="9" borderId="0" applyBorder="0" applyProtection="0"/>
    <xf numFmtId="0" fontId="39" fillId="9" borderId="0" applyBorder="0" applyProtection="0"/>
    <xf numFmtId="0" fontId="39" fillId="9" borderId="0" applyBorder="0" applyProtection="0"/>
    <xf numFmtId="0" fontId="39" fillId="10" borderId="0" applyBorder="0" applyProtection="0"/>
    <xf numFmtId="0" fontId="39" fillId="10" borderId="0" applyBorder="0" applyProtection="0"/>
    <xf numFmtId="0" fontId="39" fillId="10" borderId="0" applyBorder="0" applyProtection="0"/>
    <xf numFmtId="0" fontId="39" fillId="5" borderId="0" applyBorder="0" applyProtection="0"/>
    <xf numFmtId="0" fontId="39" fillId="5" borderId="0" applyBorder="0" applyProtection="0"/>
    <xf numFmtId="0" fontId="39" fillId="5" borderId="0" applyBorder="0" applyProtection="0"/>
    <xf numFmtId="0" fontId="39" fillId="8" borderId="0" applyBorder="0" applyProtection="0"/>
    <xf numFmtId="0" fontId="39" fillId="8" borderId="0" applyBorder="0" applyProtection="0"/>
    <xf numFmtId="0" fontId="39" fillId="8" borderId="0" applyBorder="0" applyProtection="0"/>
    <xf numFmtId="0" fontId="39" fillId="11" borderId="0" applyBorder="0" applyProtection="0"/>
    <xf numFmtId="0" fontId="39" fillId="11" borderId="0" applyBorder="0" applyProtection="0"/>
    <xf numFmtId="0" fontId="39" fillId="11" borderId="0" applyBorder="0" applyProtection="0"/>
    <xf numFmtId="0" fontId="1" fillId="12" borderId="0" applyBorder="0" applyProtection="0"/>
    <xf numFmtId="0" fontId="1" fillId="9" borderId="0" applyBorder="0" applyProtection="0"/>
    <xf numFmtId="0" fontId="1" fillId="10" borderId="0" applyBorder="0" applyProtection="0"/>
    <xf numFmtId="0" fontId="1" fillId="13" borderId="0" applyBorder="0" applyProtection="0"/>
    <xf numFmtId="0" fontId="1" fillId="14" borderId="0" applyBorder="0" applyProtection="0"/>
    <xf numFmtId="0" fontId="1" fillId="15" borderId="0" applyBorder="0" applyProtection="0"/>
    <xf numFmtId="0" fontId="1" fillId="16" borderId="0" applyBorder="0" applyProtection="0"/>
    <xf numFmtId="0" fontId="1" fillId="17" borderId="0" applyBorder="0" applyProtection="0"/>
    <xf numFmtId="0" fontId="1" fillId="18" borderId="0" applyBorder="0" applyProtection="0"/>
    <xf numFmtId="0" fontId="1" fillId="13" borderId="0" applyBorder="0" applyProtection="0"/>
    <xf numFmtId="0" fontId="1" fillId="14" borderId="0" applyBorder="0" applyProtection="0"/>
    <xf numFmtId="0" fontId="1" fillId="19" borderId="0" applyBorder="0" applyProtection="0"/>
    <xf numFmtId="0" fontId="2" fillId="3" borderId="0" applyBorder="0" applyProtection="0"/>
    <xf numFmtId="0" fontId="3" fillId="20" borderId="1" applyProtection="0"/>
    <xf numFmtId="0" fontId="4" fillId="21" borderId="2" applyProtection="0"/>
    <xf numFmtId="164" fontId="39" fillId="0" borderId="0" applyBorder="0" applyProtection="0"/>
    <xf numFmtId="164" fontId="39" fillId="0" borderId="0" applyBorder="0" applyProtection="0"/>
    <xf numFmtId="0" fontId="5" fillId="0" borderId="0" applyBorder="0" applyProtection="0"/>
    <xf numFmtId="0" fontId="6" fillId="4" borderId="0" applyBorder="0" applyProtection="0"/>
    <xf numFmtId="0" fontId="7" fillId="0" borderId="3" applyProtection="0"/>
    <xf numFmtId="0" fontId="8" fillId="0" borderId="4" applyProtection="0"/>
    <xf numFmtId="0" fontId="9" fillId="0" borderId="5" applyProtection="0"/>
    <xf numFmtId="0" fontId="9" fillId="0" borderId="0" applyBorder="0" applyProtection="0"/>
    <xf numFmtId="0" fontId="10" fillId="7" borderId="1" applyProtection="0"/>
    <xf numFmtId="0" fontId="11" fillId="0" borderId="6" applyProtection="0"/>
    <xf numFmtId="0" fontId="12" fillId="22" borderId="0" applyBorder="0" applyProtection="0"/>
    <xf numFmtId="0" fontId="39" fillId="0" borderId="0"/>
    <xf numFmtId="0" fontId="13" fillId="0" borderId="0"/>
    <xf numFmtId="0" fontId="13" fillId="0" borderId="0"/>
    <xf numFmtId="0" fontId="39" fillId="0" borderId="0"/>
    <xf numFmtId="0" fontId="39" fillId="0" borderId="0"/>
    <xf numFmtId="0" fontId="14" fillId="0" borderId="0"/>
    <xf numFmtId="0" fontId="14" fillId="0" borderId="0"/>
    <xf numFmtId="0" fontId="15" fillId="0" borderId="0"/>
    <xf numFmtId="0" fontId="39" fillId="23" borderId="7" applyProtection="0"/>
    <xf numFmtId="0" fontId="39" fillId="23" borderId="7" applyProtection="0"/>
    <xf numFmtId="0" fontId="39" fillId="23" borderId="7" applyProtection="0"/>
    <xf numFmtId="0" fontId="16" fillId="20" borderId="8" applyProtection="0"/>
    <xf numFmtId="9" fontId="39" fillId="0" borderId="0" applyBorder="0" applyProtection="0"/>
    <xf numFmtId="9" fontId="39" fillId="0" borderId="0" applyBorder="0" applyProtection="0"/>
    <xf numFmtId="0" fontId="17" fillId="0" borderId="0" applyBorder="0" applyProtection="0"/>
    <xf numFmtId="0" fontId="18" fillId="0" borderId="9" applyProtection="0"/>
    <xf numFmtId="0" fontId="13" fillId="19" borderId="0" applyBorder="0" applyProtection="0"/>
    <xf numFmtId="0" fontId="19" fillId="0" borderId="0" applyBorder="0" applyProtection="0"/>
    <xf numFmtId="0" fontId="22" fillId="7" borderId="10" applyProtection="0"/>
    <xf numFmtId="0" fontId="29" fillId="24" borderId="11" applyProtection="0"/>
    <xf numFmtId="0" fontId="31" fillId="24" borderId="10" applyProtection="0"/>
    <xf numFmtId="0" fontId="34" fillId="0" borderId="0" applyBorder="0" applyProtection="0"/>
    <xf numFmtId="9" fontId="39" fillId="0" borderId="0" applyFont="0" applyFill="0" applyBorder="0" applyAlignment="0" applyProtection="0"/>
    <xf numFmtId="0" fontId="49" fillId="27" borderId="11" applyNumberFormat="0" applyAlignment="0" applyProtection="0"/>
  </cellStyleXfs>
  <cellXfs count="1185">
    <xf numFmtId="0" fontId="0" fillId="0" borderId="0" xfId="0"/>
    <xf numFmtId="0" fontId="18" fillId="25" borderId="12" xfId="0" applyFont="1" applyFill="1" applyBorder="1" applyAlignment="1">
      <alignment wrapText="1"/>
    </xf>
    <xf numFmtId="0" fontId="0" fillId="25" borderId="13" xfId="0" applyFill="1" applyBorder="1" applyAlignment="1">
      <alignment wrapText="1"/>
    </xf>
    <xf numFmtId="0" fontId="0" fillId="25" borderId="13" xfId="0" applyFill="1" applyBorder="1" applyAlignment="1">
      <alignment horizontal="left" vertical="center" wrapText="1"/>
    </xf>
    <xf numFmtId="0" fontId="0" fillId="0" borderId="14" xfId="0" applyBorder="1" applyAlignment="1">
      <alignment wrapText="1"/>
    </xf>
    <xf numFmtId="0" fontId="20" fillId="0" borderId="0" xfId="0" applyFont="1"/>
    <xf numFmtId="0" fontId="0" fillId="23" borderId="15" xfId="0" applyFill="1" applyBorder="1"/>
    <xf numFmtId="0" fontId="0" fillId="23" borderId="16" xfId="0" applyFill="1" applyBorder="1"/>
    <xf numFmtId="0" fontId="0" fillId="23" borderId="17" xfId="0" applyFill="1" applyBorder="1"/>
    <xf numFmtId="0" fontId="0" fillId="23" borderId="18" xfId="0" applyFill="1" applyBorder="1"/>
    <xf numFmtId="0" fontId="0" fillId="23" borderId="0" xfId="0" applyFill="1"/>
    <xf numFmtId="0" fontId="0" fillId="23" borderId="20" xfId="0" applyFill="1" applyBorder="1" applyAlignment="1">
      <alignment vertical="center"/>
    </xf>
    <xf numFmtId="0" fontId="0" fillId="23" borderId="20" xfId="0" applyFill="1" applyBorder="1"/>
    <xf numFmtId="0" fontId="22" fillId="0" borderId="21" xfId="81" applyFill="1" applyBorder="1" applyAlignment="1" applyProtection="1">
      <alignment horizontal="right" vertical="center"/>
      <protection locked="0"/>
    </xf>
    <xf numFmtId="0" fontId="0" fillId="23" borderId="0" xfId="81" applyFont="1" applyFill="1" applyBorder="1" applyAlignment="1" applyProtection="1">
      <alignment vertical="center"/>
    </xf>
    <xf numFmtId="0" fontId="0" fillId="23" borderId="20" xfId="81" applyFont="1" applyFill="1" applyBorder="1" applyAlignment="1" applyProtection="1">
      <alignment vertical="center"/>
    </xf>
    <xf numFmtId="10" fontId="22" fillId="0" borderId="21" xfId="81" applyNumberFormat="1" applyFill="1" applyBorder="1" applyAlignment="1" applyProtection="1">
      <alignment horizontal="right" vertical="center"/>
      <protection locked="0"/>
    </xf>
    <xf numFmtId="0" fontId="0" fillId="23" borderId="23" xfId="0" applyFill="1" applyBorder="1"/>
    <xf numFmtId="0" fontId="0" fillId="23" borderId="24" xfId="0" applyFill="1" applyBorder="1"/>
    <xf numFmtId="0" fontId="22" fillId="23" borderId="24" xfId="81" applyFill="1" applyBorder="1" applyAlignment="1" applyProtection="1">
      <alignment horizontal="right" vertical="center"/>
    </xf>
    <xf numFmtId="0" fontId="0" fillId="23" borderId="25" xfId="0" applyFill="1" applyBorder="1"/>
    <xf numFmtId="0" fontId="0" fillId="0" borderId="0" xfId="0" applyAlignment="1">
      <alignment horizontal="left" vertical="top"/>
    </xf>
    <xf numFmtId="0" fontId="25" fillId="0" borderId="0" xfId="0" applyFont="1"/>
    <xf numFmtId="10" fontId="26" fillId="23" borderId="30" xfId="0" applyNumberFormat="1" applyFont="1" applyFill="1" applyBorder="1" applyAlignment="1">
      <alignment vertical="center"/>
    </xf>
    <xf numFmtId="0" fontId="0" fillId="23" borderId="31" xfId="0" applyFill="1" applyBorder="1" applyAlignment="1">
      <alignment vertical="center"/>
    </xf>
    <xf numFmtId="0" fontId="0" fillId="23" borderId="29" xfId="0" applyFill="1" applyBorder="1" applyAlignment="1">
      <alignment vertical="center"/>
    </xf>
    <xf numFmtId="10" fontId="26" fillId="23" borderId="32" xfId="0" applyNumberFormat="1" applyFont="1" applyFill="1" applyBorder="1" applyAlignment="1">
      <alignment vertical="center"/>
    </xf>
    <xf numFmtId="10" fontId="26" fillId="23" borderId="33" xfId="0" applyNumberFormat="1" applyFont="1" applyFill="1" applyBorder="1" applyAlignment="1">
      <alignment vertical="center"/>
    </xf>
    <xf numFmtId="0" fontId="0" fillId="23" borderId="18" xfId="0" applyFill="1" applyBorder="1" applyAlignment="1">
      <alignment vertical="center"/>
    </xf>
    <xf numFmtId="0" fontId="26" fillId="23" borderId="0" xfId="0" applyFont="1" applyFill="1" applyAlignment="1">
      <alignment vertical="center"/>
    </xf>
    <xf numFmtId="10" fontId="0" fillId="23" borderId="0" xfId="0" applyNumberFormat="1" applyFill="1" applyAlignment="1">
      <alignment vertical="center"/>
    </xf>
    <xf numFmtId="10" fontId="26" fillId="23" borderId="0" xfId="0" applyNumberFormat="1" applyFont="1" applyFill="1" applyAlignment="1">
      <alignment vertical="center"/>
    </xf>
    <xf numFmtId="0" fontId="0" fillId="23" borderId="0" xfId="0" applyFill="1" applyAlignment="1">
      <alignment horizontal="left" vertical="center"/>
    </xf>
    <xf numFmtId="0" fontId="0" fillId="22" borderId="21" xfId="0" applyFill="1" applyBorder="1" applyAlignment="1">
      <alignment horizontal="center" vertical="center" wrapText="1"/>
    </xf>
    <xf numFmtId="0" fontId="0" fillId="22" borderId="38" xfId="0" applyFill="1" applyBorder="1" applyAlignment="1">
      <alignment horizontal="left" vertical="center"/>
    </xf>
    <xf numFmtId="0" fontId="24" fillId="23" borderId="39" xfId="0" applyFont="1" applyFill="1" applyBorder="1" applyAlignment="1">
      <alignment horizontal="center" vertical="center" wrapText="1"/>
    </xf>
    <xf numFmtId="0" fontId="24" fillId="23" borderId="41" xfId="0" applyFont="1" applyFill="1" applyBorder="1" applyAlignment="1">
      <alignment horizontal="center" vertical="center" wrapText="1"/>
    </xf>
    <xf numFmtId="0" fontId="26" fillId="23" borderId="44" xfId="0" applyFont="1" applyFill="1" applyBorder="1" applyAlignment="1">
      <alignment horizontal="center" vertical="center"/>
    </xf>
    <xf numFmtId="0" fontId="0" fillId="22" borderId="45" xfId="0" applyFill="1" applyBorder="1" applyAlignment="1">
      <alignment horizontal="left" vertical="center"/>
    </xf>
    <xf numFmtId="0" fontId="26" fillId="23" borderId="47" xfId="0" applyFont="1" applyFill="1" applyBorder="1" applyAlignment="1">
      <alignment horizontal="center" vertical="center" wrapText="1"/>
    </xf>
    <xf numFmtId="1" fontId="0" fillId="0" borderId="0" xfId="0" applyNumberFormat="1"/>
    <xf numFmtId="166" fontId="0" fillId="0" borderId="0" xfId="0" applyNumberFormat="1"/>
    <xf numFmtId="0" fontId="26" fillId="23" borderId="47" xfId="0" applyFont="1" applyFill="1" applyBorder="1" applyAlignment="1">
      <alignment horizontal="center" vertical="center"/>
    </xf>
    <xf numFmtId="0" fontId="0" fillId="0" borderId="0" xfId="0" applyAlignment="1">
      <alignment vertical="center"/>
    </xf>
    <xf numFmtId="0" fontId="18" fillId="0" borderId="0" xfId="0" applyFont="1" applyAlignment="1">
      <alignment vertical="center"/>
    </xf>
    <xf numFmtId="0" fontId="30" fillId="24" borderId="39" xfId="82" applyFont="1" applyBorder="1" applyProtection="1"/>
    <xf numFmtId="0" fontId="29" fillId="26" borderId="57" xfId="82" applyFill="1" applyBorder="1" applyAlignment="1" applyProtection="1">
      <alignment horizontal="left" vertical="center" wrapText="1"/>
    </xf>
    <xf numFmtId="0" fontId="29" fillId="26" borderId="27" xfId="82" applyFill="1" applyBorder="1" applyAlignment="1" applyProtection="1">
      <alignment horizontal="left" vertical="center" wrapText="1"/>
    </xf>
    <xf numFmtId="0" fontId="30" fillId="24" borderId="59" xfId="82" applyFont="1" applyBorder="1" applyAlignment="1" applyProtection="1">
      <alignment horizontal="left" vertical="center"/>
    </xf>
    <xf numFmtId="0" fontId="30" fillId="24" borderId="60" xfId="82" applyFont="1" applyBorder="1" applyAlignment="1" applyProtection="1">
      <alignment horizontal="left" vertical="center"/>
    </xf>
    <xf numFmtId="0" fontId="0" fillId="0" borderId="0" xfId="0" applyAlignment="1">
      <alignment horizontal="right"/>
    </xf>
    <xf numFmtId="0" fontId="33" fillId="0" borderId="0" xfId="84" applyFont="1" applyBorder="1" applyAlignment="1" applyProtection="1">
      <alignment vertical="center"/>
    </xf>
    <xf numFmtId="0" fontId="30" fillId="24" borderId="26" xfId="82" applyFont="1" applyBorder="1" applyAlignment="1" applyProtection="1">
      <alignment horizontal="center"/>
    </xf>
    <xf numFmtId="0" fontId="29" fillId="26" borderId="57" xfId="82" applyFill="1" applyBorder="1" applyAlignment="1" applyProtection="1">
      <alignment horizontal="left" vertical="center"/>
    </xf>
    <xf numFmtId="0" fontId="30" fillId="0" borderId="0" xfId="82" applyFont="1" applyFill="1" applyBorder="1" applyAlignment="1" applyProtection="1">
      <alignment horizontal="left" vertical="center" wrapText="1"/>
    </xf>
    <xf numFmtId="0" fontId="31" fillId="0" borderId="0" xfId="83" applyFill="1" applyBorder="1" applyAlignment="1" applyProtection="1">
      <alignment horizontal="center" vertical="center" wrapText="1"/>
    </xf>
    <xf numFmtId="0" fontId="30" fillId="0" borderId="0" xfId="82" applyFont="1" applyFill="1" applyBorder="1" applyAlignment="1" applyProtection="1">
      <alignment horizontal="center" wrapText="1"/>
    </xf>
    <xf numFmtId="167" fontId="0" fillId="0" borderId="0" xfId="0" applyNumberFormat="1"/>
    <xf numFmtId="0" fontId="29" fillId="0" borderId="0" xfId="82" applyFill="1" applyBorder="1" applyAlignment="1" applyProtection="1">
      <alignment horizontal="left" vertical="center" wrapText="1"/>
    </xf>
    <xf numFmtId="168" fontId="0" fillId="0" borderId="0" xfId="0" applyNumberFormat="1"/>
    <xf numFmtId="0" fontId="0" fillId="22" borderId="37" xfId="0" applyFill="1" applyBorder="1" applyAlignment="1">
      <alignment horizontal="center" vertical="center"/>
    </xf>
    <xf numFmtId="0" fontId="29" fillId="26" borderId="38" xfId="82" applyFill="1" applyBorder="1" applyAlignment="1" applyProtection="1">
      <alignment horizontal="left" vertical="center" wrapText="1"/>
    </xf>
    <xf numFmtId="0" fontId="0" fillId="23" borderId="16" xfId="0" applyFill="1" applyBorder="1" applyAlignment="1">
      <alignment vertical="center"/>
    </xf>
    <xf numFmtId="0" fontId="27" fillId="23" borderId="16" xfId="0" applyFont="1" applyFill="1" applyBorder="1" applyAlignment="1">
      <alignment horizontal="right" vertical="center"/>
    </xf>
    <xf numFmtId="0" fontId="0" fillId="23" borderId="17" xfId="0" applyFill="1" applyBorder="1" applyAlignment="1">
      <alignment horizontal="left" vertical="center"/>
    </xf>
    <xf numFmtId="0" fontId="0" fillId="23" borderId="18" xfId="0" applyFill="1" applyBorder="1" applyAlignment="1">
      <alignment horizontal="left" vertical="center"/>
    </xf>
    <xf numFmtId="0" fontId="0" fillId="23" borderId="24" xfId="0" applyFill="1" applyBorder="1" applyAlignment="1">
      <alignment vertical="center"/>
    </xf>
    <xf numFmtId="0" fontId="0" fillId="0" borderId="24" xfId="0" applyBorder="1"/>
    <xf numFmtId="0" fontId="0" fillId="23" borderId="23" xfId="0" applyFill="1" applyBorder="1" applyAlignment="1">
      <alignment vertical="center"/>
    </xf>
    <xf numFmtId="0" fontId="30" fillId="0" borderId="0" xfId="82" applyFont="1" applyFill="1" applyBorder="1" applyAlignment="1" applyProtection="1">
      <alignment horizontal="left" vertical="center"/>
    </xf>
    <xf numFmtId="0" fontId="0" fillId="23" borderId="15" xfId="0" applyFill="1" applyBorder="1" applyAlignment="1">
      <alignment vertical="center" wrapText="1"/>
    </xf>
    <xf numFmtId="0" fontId="0" fillId="23" borderId="16" xfId="0" applyFill="1" applyBorder="1" applyAlignment="1">
      <alignment vertical="center" wrapText="1"/>
    </xf>
    <xf numFmtId="0" fontId="27" fillId="23" borderId="17" xfId="0" applyFont="1" applyFill="1" applyBorder="1" applyAlignment="1">
      <alignment horizontal="right" vertical="center"/>
    </xf>
    <xf numFmtId="0" fontId="27" fillId="23" borderId="20" xfId="0" applyFont="1" applyFill="1" applyBorder="1" applyAlignment="1">
      <alignment horizontal="right" vertical="center"/>
    </xf>
    <xf numFmtId="0" fontId="26" fillId="23" borderId="20" xfId="0" applyFont="1" applyFill="1" applyBorder="1" applyAlignment="1">
      <alignment vertical="center"/>
    </xf>
    <xf numFmtId="169" fontId="27" fillId="23" borderId="0" xfId="0" applyNumberFormat="1" applyFont="1" applyFill="1" applyAlignment="1">
      <alignment horizontal="right" vertical="center"/>
    </xf>
    <xf numFmtId="0" fontId="26" fillId="23" borderId="25" xfId="0" applyFont="1" applyFill="1" applyBorder="1" applyAlignment="1">
      <alignment vertical="center"/>
    </xf>
    <xf numFmtId="167" fontId="31" fillId="0" borderId="0" xfId="83" applyNumberFormat="1" applyFill="1" applyBorder="1" applyAlignment="1" applyProtection="1">
      <alignment horizontal="center" vertical="center" wrapText="1"/>
    </xf>
    <xf numFmtId="0" fontId="18" fillId="0" borderId="0" xfId="0" applyFont="1"/>
    <xf numFmtId="0" fontId="0" fillId="0" borderId="0" xfId="0" applyAlignment="1">
      <alignment wrapText="1"/>
    </xf>
    <xf numFmtId="10" fontId="32" fillId="24" borderId="50" xfId="83" applyNumberFormat="1" applyFont="1" applyBorder="1" applyAlignment="1" applyProtection="1">
      <alignment horizontal="center" vertical="center" wrapText="1"/>
    </xf>
    <xf numFmtId="0" fontId="0" fillId="0" borderId="0" xfId="0" applyAlignment="1">
      <alignment horizontal="left" indent="7"/>
    </xf>
    <xf numFmtId="0" fontId="37" fillId="23" borderId="0" xfId="0" applyFont="1" applyFill="1" applyAlignment="1">
      <alignment vertical="center"/>
    </xf>
    <xf numFmtId="1" fontId="27" fillId="23" borderId="0" xfId="0" applyNumberFormat="1" applyFont="1" applyFill="1" applyAlignment="1">
      <alignment horizontal="right" vertical="center"/>
    </xf>
    <xf numFmtId="2" fontId="27" fillId="23" borderId="0" xfId="0" applyNumberFormat="1" applyFont="1" applyFill="1" applyAlignment="1">
      <alignment horizontal="right" vertical="center"/>
    </xf>
    <xf numFmtId="0" fontId="21" fillId="23" borderId="0" xfId="0" applyFont="1" applyFill="1" applyAlignment="1">
      <alignment horizontal="right" vertical="center"/>
    </xf>
    <xf numFmtId="0" fontId="18" fillId="0" borderId="12" xfId="0" applyFont="1" applyBorder="1"/>
    <xf numFmtId="0" fontId="18" fillId="0" borderId="66" xfId="0" applyFont="1" applyBorder="1"/>
    <xf numFmtId="0" fontId="0" fillId="0" borderId="13" xfId="0" applyBorder="1"/>
    <xf numFmtId="0" fontId="0" fillId="0" borderId="67" xfId="0" applyBorder="1"/>
    <xf numFmtId="49" fontId="0" fillId="0" borderId="13" xfId="0" applyNumberFormat="1" applyBorder="1"/>
    <xf numFmtId="0" fontId="0" fillId="0" borderId="68" xfId="0" applyBorder="1"/>
    <xf numFmtId="0" fontId="0" fillId="0" borderId="14" xfId="0" applyBorder="1"/>
    <xf numFmtId="49" fontId="0" fillId="0" borderId="14" xfId="0" applyNumberFormat="1" applyBorder="1"/>
    <xf numFmtId="0" fontId="0" fillId="0" borderId="22" xfId="0" applyBorder="1"/>
    <xf numFmtId="0" fontId="0" fillId="0" borderId="0" xfId="63" applyFont="1" applyAlignment="1">
      <alignment wrapText="1"/>
    </xf>
    <xf numFmtId="0" fontId="0" fillId="0" borderId="69" xfId="0" applyBorder="1"/>
    <xf numFmtId="0" fontId="0" fillId="0" borderId="12" xfId="0" applyBorder="1"/>
    <xf numFmtId="0" fontId="0" fillId="0" borderId="13" xfId="63" applyFont="1" applyBorder="1"/>
    <xf numFmtId="0" fontId="0" fillId="0" borderId="18" xfId="0" applyBorder="1"/>
    <xf numFmtId="0" fontId="18" fillId="0" borderId="18" xfId="0" applyFont="1" applyBorder="1"/>
    <xf numFmtId="0" fontId="0" fillId="0" borderId="14" xfId="63" applyFont="1" applyBorder="1"/>
    <xf numFmtId="0" fontId="0" fillId="0" borderId="15" xfId="0" applyBorder="1"/>
    <xf numFmtId="0" fontId="0" fillId="0" borderId="12" xfId="63" applyFont="1" applyBorder="1"/>
    <xf numFmtId="0" fontId="0" fillId="0" borderId="0" xfId="63" applyFont="1"/>
    <xf numFmtId="0" fontId="0" fillId="0" borderId="23" xfId="0" applyBorder="1"/>
    <xf numFmtId="0" fontId="39" fillId="0" borderId="14" xfId="63" applyBorder="1"/>
    <xf numFmtId="0" fontId="0" fillId="0" borderId="13" xfId="0" applyBorder="1" applyAlignment="1">
      <alignment wrapText="1"/>
    </xf>
    <xf numFmtId="0" fontId="0" fillId="0" borderId="14" xfId="67" applyFont="1" applyBorder="1"/>
    <xf numFmtId="0" fontId="0" fillId="0" borderId="0" xfId="0" applyAlignment="1">
      <alignment horizontal="left"/>
    </xf>
    <xf numFmtId="0" fontId="0" fillId="0" borderId="17" xfId="0" applyBorder="1"/>
    <xf numFmtId="0" fontId="0" fillId="0" borderId="20" xfId="0" applyBorder="1"/>
    <xf numFmtId="0" fontId="18" fillId="0" borderId="0" xfId="0" applyFont="1" applyAlignment="1">
      <alignment wrapText="1"/>
    </xf>
    <xf numFmtId="0" fontId="0" fillId="0" borderId="16" xfId="0" applyBorder="1"/>
    <xf numFmtId="2" fontId="0" fillId="0" borderId="0" xfId="0" applyNumberFormat="1"/>
    <xf numFmtId="0" fontId="18" fillId="0" borderId="18" xfId="0" applyFont="1" applyBorder="1" applyAlignment="1">
      <alignment horizontal="left"/>
    </xf>
    <xf numFmtId="170" fontId="0" fillId="0" borderId="0" xfId="0" applyNumberFormat="1"/>
    <xf numFmtId="0" fontId="0" fillId="0" borderId="18" xfId="63" applyFont="1" applyBorder="1"/>
    <xf numFmtId="0" fontId="0" fillId="0" borderId="23" xfId="63" applyFont="1" applyBorder="1"/>
    <xf numFmtId="0" fontId="18" fillId="0" borderId="0" xfId="63" applyFont="1"/>
    <xf numFmtId="0" fontId="18" fillId="0" borderId="0" xfId="63" applyFont="1" applyAlignment="1">
      <alignment wrapText="1"/>
    </xf>
    <xf numFmtId="165" fontId="18" fillId="0" borderId="0" xfId="63" applyNumberFormat="1" applyFont="1" applyAlignment="1">
      <alignment wrapText="1"/>
    </xf>
    <xf numFmtId="165" fontId="0" fillId="0" borderId="0" xfId="63" applyNumberFormat="1" applyFont="1"/>
    <xf numFmtId="10" fontId="0" fillId="0" borderId="0" xfId="0" applyNumberFormat="1"/>
    <xf numFmtId="168" fontId="40" fillId="0" borderId="0" xfId="0" applyNumberFormat="1" applyFont="1"/>
    <xf numFmtId="168" fontId="41" fillId="0" borderId="0" xfId="63" applyNumberFormat="1" applyFont="1" applyAlignment="1">
      <alignment wrapText="1"/>
    </xf>
    <xf numFmtId="0" fontId="41" fillId="0" borderId="0" xfId="0" applyFont="1"/>
    <xf numFmtId="168" fontId="39" fillId="0" borderId="0" xfId="63" applyNumberFormat="1"/>
    <xf numFmtId="0" fontId="0" fillId="0" borderId="15" xfId="63" applyFont="1" applyBorder="1"/>
    <xf numFmtId="168" fontId="0" fillId="0" borderId="71" xfId="0" applyNumberFormat="1" applyBorder="1"/>
    <xf numFmtId="168" fontId="0" fillId="0" borderId="70" xfId="0" applyNumberFormat="1" applyBorder="1"/>
    <xf numFmtId="168" fontId="40" fillId="0" borderId="0" xfId="63" applyNumberFormat="1" applyFont="1"/>
    <xf numFmtId="0" fontId="43" fillId="0" borderId="0" xfId="0" applyFont="1"/>
    <xf numFmtId="0" fontId="30" fillId="24" borderId="39" xfId="82" applyFont="1" applyBorder="1" applyAlignment="1" applyProtection="1">
      <alignment horizontal="center"/>
    </xf>
    <xf numFmtId="0" fontId="29" fillId="26" borderId="36" xfId="82" applyFill="1" applyBorder="1" applyAlignment="1" applyProtection="1">
      <alignment vertical="center" wrapText="1"/>
    </xf>
    <xf numFmtId="1" fontId="43" fillId="0" borderId="0" xfId="0" applyNumberFormat="1" applyFont="1"/>
    <xf numFmtId="0" fontId="18" fillId="23" borderId="0" xfId="0" applyFont="1" applyFill="1" applyAlignment="1">
      <alignment vertical="center"/>
    </xf>
    <xf numFmtId="0" fontId="18" fillId="23" borderId="0" xfId="0" applyFont="1" applyFill="1"/>
    <xf numFmtId="0" fontId="0" fillId="22" borderId="57" xfId="0" applyFill="1" applyBorder="1" applyAlignment="1">
      <alignment horizontal="left" vertical="center"/>
    </xf>
    <xf numFmtId="0" fontId="0" fillId="22" borderId="31" xfId="0" applyFill="1" applyBorder="1" applyAlignment="1">
      <alignment horizontal="left" vertical="center"/>
    </xf>
    <xf numFmtId="0" fontId="0" fillId="22" borderId="31" xfId="0" applyFill="1" applyBorder="1" applyAlignment="1">
      <alignment horizontal="left" vertical="center" wrapText="1"/>
    </xf>
    <xf numFmtId="0" fontId="0" fillId="22" borderId="58" xfId="0" applyFill="1" applyBorder="1" applyAlignment="1">
      <alignment horizontal="left" vertical="center"/>
    </xf>
    <xf numFmtId="0" fontId="0" fillId="22" borderId="59" xfId="0" applyFill="1" applyBorder="1" applyAlignment="1">
      <alignment horizontal="left" vertical="center"/>
    </xf>
    <xf numFmtId="0" fontId="0" fillId="22" borderId="60" xfId="0" applyFill="1" applyBorder="1" applyAlignment="1">
      <alignment horizontal="left" vertical="center" wrapText="1"/>
    </xf>
    <xf numFmtId="170" fontId="44" fillId="23" borderId="28" xfId="83" applyNumberFormat="1" applyFont="1" applyFill="1" applyBorder="1" applyAlignment="1" applyProtection="1">
      <alignment horizontal="center" vertical="center" wrapText="1"/>
    </xf>
    <xf numFmtId="0" fontId="0" fillId="23" borderId="28" xfId="0" applyFill="1" applyBorder="1" applyAlignment="1">
      <alignment horizontal="center" vertical="center"/>
    </xf>
    <xf numFmtId="0" fontId="0" fillId="22" borderId="38" xfId="0" applyFill="1" applyBorder="1" applyAlignment="1">
      <alignment horizontal="center" vertical="center" wrapText="1"/>
    </xf>
    <xf numFmtId="0" fontId="0" fillId="22" borderId="39" xfId="0" applyFill="1" applyBorder="1" applyAlignment="1">
      <alignment horizontal="center" vertical="center" wrapText="1"/>
    </xf>
    <xf numFmtId="170" fontId="44" fillId="23" borderId="38" xfId="83" applyNumberFormat="1" applyFont="1" applyFill="1" applyBorder="1" applyAlignment="1" applyProtection="1">
      <alignment horizontal="center" vertical="center" wrapText="1"/>
    </xf>
    <xf numFmtId="170" fontId="44" fillId="23" borderId="39" xfId="83" applyNumberFormat="1" applyFont="1" applyFill="1" applyBorder="1" applyAlignment="1" applyProtection="1">
      <alignment horizontal="center" vertical="center" wrapText="1"/>
    </xf>
    <xf numFmtId="0" fontId="29" fillId="26" borderId="57" xfId="82" applyFill="1" applyBorder="1" applyAlignment="1" applyProtection="1">
      <alignment vertical="center" wrapText="1"/>
    </xf>
    <xf numFmtId="0" fontId="29" fillId="26" borderId="21" xfId="82" applyFill="1" applyBorder="1" applyAlignment="1" applyProtection="1">
      <alignment vertical="center" wrapText="1"/>
    </xf>
    <xf numFmtId="0" fontId="29" fillId="26" borderId="49" xfId="82" applyFill="1" applyBorder="1" applyAlignment="1" applyProtection="1">
      <alignment vertical="center" wrapText="1"/>
    </xf>
    <xf numFmtId="0" fontId="29" fillId="26" borderId="38" xfId="82" applyFill="1" applyBorder="1" applyAlignment="1" applyProtection="1">
      <alignment vertical="center" wrapText="1"/>
    </xf>
    <xf numFmtId="0" fontId="29" fillId="26" borderId="39" xfId="82" applyFill="1" applyBorder="1" applyAlignment="1" applyProtection="1">
      <alignment vertical="center" wrapText="1"/>
    </xf>
    <xf numFmtId="0" fontId="32" fillId="26" borderId="39" xfId="82" applyFont="1" applyFill="1" applyBorder="1" applyAlignment="1" applyProtection="1">
      <alignment vertical="center" wrapText="1"/>
    </xf>
    <xf numFmtId="0" fontId="29" fillId="26" borderId="35" xfId="82" applyFill="1" applyBorder="1" applyAlignment="1" applyProtection="1">
      <alignment vertical="center" wrapText="1"/>
    </xf>
    <xf numFmtId="0" fontId="29" fillId="26" borderId="37" xfId="82" applyFill="1" applyBorder="1" applyAlignment="1" applyProtection="1">
      <alignment vertical="center" wrapText="1"/>
    </xf>
    <xf numFmtId="0" fontId="32" fillId="26" borderId="57" xfId="82" applyFont="1" applyFill="1" applyBorder="1" applyAlignment="1" applyProtection="1">
      <alignment horizontal="left" vertical="center"/>
    </xf>
    <xf numFmtId="170" fontId="44" fillId="23" borderId="45" xfId="83" applyNumberFormat="1" applyFont="1" applyFill="1" applyBorder="1" applyAlignment="1" applyProtection="1">
      <alignment horizontal="center" vertical="center" wrapText="1"/>
    </xf>
    <xf numFmtId="170" fontId="44" fillId="23" borderId="50" xfId="83" applyNumberFormat="1" applyFont="1" applyFill="1" applyBorder="1" applyAlignment="1" applyProtection="1">
      <alignment horizontal="center" vertical="center" wrapText="1"/>
    </xf>
    <xf numFmtId="170" fontId="44" fillId="23" borderId="51" xfId="83" applyNumberFormat="1" applyFont="1" applyFill="1" applyBorder="1" applyAlignment="1" applyProtection="1">
      <alignment horizontal="center" vertical="center" wrapText="1"/>
    </xf>
    <xf numFmtId="0" fontId="0" fillId="23" borderId="51" xfId="0" applyFill="1" applyBorder="1" applyAlignment="1">
      <alignment horizontal="center" vertical="center"/>
    </xf>
    <xf numFmtId="10" fontId="26" fillId="23" borderId="20" xfId="0" applyNumberFormat="1" applyFont="1" applyFill="1" applyBorder="1" applyAlignment="1">
      <alignment vertical="center"/>
    </xf>
    <xf numFmtId="10" fontId="26" fillId="23" borderId="25" xfId="0" applyNumberFormat="1" applyFont="1" applyFill="1" applyBorder="1" applyAlignment="1">
      <alignment vertical="center"/>
    </xf>
    <xf numFmtId="0" fontId="0" fillId="22" borderId="55" xfId="0" applyFill="1" applyBorder="1" applyAlignment="1">
      <alignment horizontal="right" vertical="center"/>
    </xf>
    <xf numFmtId="0" fontId="27" fillId="23" borderId="45" xfId="0" applyFont="1" applyFill="1" applyBorder="1" applyAlignment="1">
      <alignment horizontal="center" vertical="center"/>
    </xf>
    <xf numFmtId="0" fontId="27" fillId="23" borderId="50" xfId="0" applyFont="1" applyFill="1" applyBorder="1" applyAlignment="1">
      <alignment horizontal="center" vertical="center"/>
    </xf>
    <xf numFmtId="0" fontId="27" fillId="23" borderId="38" xfId="0" applyFont="1" applyFill="1" applyBorder="1" applyAlignment="1">
      <alignment horizontal="center" vertical="center" wrapText="1"/>
    </xf>
    <xf numFmtId="0" fontId="0" fillId="22" borderId="40" xfId="0" applyFill="1" applyBorder="1" applyAlignment="1">
      <alignment horizontal="center" vertical="center" wrapText="1"/>
    </xf>
    <xf numFmtId="0" fontId="0" fillId="22" borderId="41" xfId="0" applyFill="1" applyBorder="1" applyAlignment="1">
      <alignment horizontal="center" vertical="center" wrapText="1"/>
    </xf>
    <xf numFmtId="0" fontId="0" fillId="22" borderId="32" xfId="0" applyFill="1" applyBorder="1" applyAlignment="1">
      <alignment horizontal="center" vertical="center" wrapText="1"/>
    </xf>
    <xf numFmtId="0" fontId="0" fillId="22" borderId="55" xfId="0" applyFill="1" applyBorder="1" applyAlignment="1">
      <alignment horizontal="left" vertical="center"/>
    </xf>
    <xf numFmtId="170" fontId="44" fillId="23" borderId="35" xfId="83" applyNumberFormat="1" applyFont="1" applyFill="1" applyBorder="1" applyAlignment="1" applyProtection="1">
      <alignment horizontal="center" vertical="center" wrapText="1"/>
    </xf>
    <xf numFmtId="170" fontId="44" fillId="23" borderId="37" xfId="83" applyNumberFormat="1" applyFont="1" applyFill="1" applyBorder="1" applyAlignment="1" applyProtection="1">
      <alignment horizontal="center" vertical="center" wrapText="1"/>
    </xf>
    <xf numFmtId="170" fontId="44" fillId="23" borderId="49" xfId="83" applyNumberFormat="1" applyFont="1" applyFill="1" applyBorder="1" applyAlignment="1" applyProtection="1">
      <alignment horizontal="center" vertical="center" wrapText="1"/>
    </xf>
    <xf numFmtId="0" fontId="0" fillId="23" borderId="49" xfId="0" applyFill="1" applyBorder="1" applyAlignment="1">
      <alignment horizontal="center" vertical="center"/>
    </xf>
    <xf numFmtId="0" fontId="23" fillId="0" borderId="0" xfId="0" applyFont="1"/>
    <xf numFmtId="0" fontId="0" fillId="0" borderId="0" xfId="0" applyAlignment="1">
      <alignment shrinkToFit="1"/>
    </xf>
    <xf numFmtId="0" fontId="0" fillId="0" borderId="0" xfId="0" applyAlignment="1">
      <alignment wrapText="1" shrinkToFit="1"/>
    </xf>
    <xf numFmtId="0" fontId="0" fillId="23" borderId="38" xfId="0" applyFill="1" applyBorder="1" applyAlignment="1">
      <alignment horizontal="center" vertical="center"/>
    </xf>
    <xf numFmtId="0" fontId="0" fillId="23" borderId="45" xfId="0" applyFill="1" applyBorder="1" applyAlignment="1">
      <alignment horizontal="center" vertical="center"/>
    </xf>
    <xf numFmtId="170" fontId="44" fillId="23" borderId="21" xfId="83" applyNumberFormat="1" applyFont="1" applyFill="1" applyBorder="1" applyAlignment="1" applyProtection="1">
      <alignment horizontal="center" vertical="center" wrapText="1"/>
    </xf>
    <xf numFmtId="0" fontId="29" fillId="0" borderId="0" xfId="82" applyFill="1" applyBorder="1" applyAlignment="1" applyProtection="1">
      <alignment horizontal="left" vertical="center"/>
    </xf>
    <xf numFmtId="0" fontId="30" fillId="24" borderId="57" xfId="82" applyFont="1" applyBorder="1" applyAlignment="1" applyProtection="1">
      <alignment vertical="center"/>
    </xf>
    <xf numFmtId="10" fontId="32" fillId="24" borderId="39" xfId="83" applyNumberFormat="1" applyFont="1" applyBorder="1" applyAlignment="1" applyProtection="1">
      <alignment horizontal="center" vertical="center" wrapText="1"/>
    </xf>
    <xf numFmtId="10" fontId="32" fillId="24" borderId="45" xfId="83" applyNumberFormat="1" applyFont="1" applyBorder="1" applyAlignment="1" applyProtection="1">
      <alignment horizontal="center" vertical="center" wrapText="1"/>
    </xf>
    <xf numFmtId="0" fontId="30" fillId="24" borderId="38" xfId="82" applyFont="1" applyBorder="1" applyAlignment="1" applyProtection="1">
      <alignment horizontal="center"/>
    </xf>
    <xf numFmtId="0" fontId="29" fillId="26" borderId="55" xfId="82" applyFill="1" applyBorder="1" applyAlignment="1" applyProtection="1">
      <alignment horizontal="left" vertical="center" wrapText="1"/>
    </xf>
    <xf numFmtId="0" fontId="30" fillId="24" borderId="57" xfId="82" applyFont="1" applyBorder="1" applyAlignment="1" applyProtection="1">
      <alignment vertical="center" wrapText="1"/>
    </xf>
    <xf numFmtId="0" fontId="30" fillId="24" borderId="38" xfId="82" applyFont="1" applyBorder="1" applyAlignment="1" applyProtection="1">
      <alignment wrapText="1"/>
    </xf>
    <xf numFmtId="0" fontId="30" fillId="24" borderId="39" xfId="82" applyFont="1" applyBorder="1" applyAlignment="1" applyProtection="1">
      <alignment wrapText="1"/>
    </xf>
    <xf numFmtId="0" fontId="30" fillId="24" borderId="59" xfId="82" applyFont="1" applyBorder="1" applyAlignment="1" applyProtection="1">
      <alignment horizontal="left" vertical="center" wrapText="1"/>
    </xf>
    <xf numFmtId="0" fontId="30" fillId="24" borderId="38" xfId="82" applyFont="1" applyBorder="1" applyProtection="1"/>
    <xf numFmtId="0" fontId="31" fillId="0" borderId="18" xfId="83" applyFill="1" applyBorder="1" applyAlignment="1" applyProtection="1">
      <alignment horizontal="center" vertical="center" wrapText="1"/>
    </xf>
    <xf numFmtId="0" fontId="31" fillId="0" borderId="20" xfId="83" applyFill="1" applyBorder="1" applyAlignment="1" applyProtection="1">
      <alignment horizontal="center" vertical="center" wrapText="1"/>
    </xf>
    <xf numFmtId="0" fontId="29" fillId="26" borderId="15" xfId="82" applyFill="1" applyBorder="1" applyAlignment="1" applyProtection="1">
      <alignment horizontal="center" vertical="center" wrapText="1"/>
    </xf>
    <xf numFmtId="0" fontId="29" fillId="26" borderId="16" xfId="82" applyFill="1" applyBorder="1" applyAlignment="1" applyProtection="1">
      <alignment horizontal="center" vertical="center" wrapText="1"/>
    </xf>
    <xf numFmtId="0" fontId="40" fillId="0" borderId="20" xfId="0" applyFont="1" applyBorder="1"/>
    <xf numFmtId="0" fontId="47" fillId="0" borderId="70" xfId="0" applyFont="1" applyBorder="1"/>
    <xf numFmtId="0" fontId="41" fillId="0" borderId="0" xfId="63" applyFont="1" applyAlignment="1">
      <alignment wrapText="1"/>
    </xf>
    <xf numFmtId="0" fontId="18" fillId="0" borderId="21" xfId="0" applyFont="1" applyBorder="1"/>
    <xf numFmtId="0" fontId="41" fillId="0" borderId="21" xfId="0" applyFont="1" applyBorder="1"/>
    <xf numFmtId="0" fontId="0" fillId="0" borderId="21" xfId="0" applyBorder="1"/>
    <xf numFmtId="0" fontId="0" fillId="0" borderId="21" xfId="0" applyBorder="1" applyAlignment="1">
      <alignment horizontal="left"/>
    </xf>
    <xf numFmtId="0" fontId="18" fillId="0" borderId="26" xfId="0" applyFont="1" applyBorder="1"/>
    <xf numFmtId="0" fontId="0" fillId="0" borderId="26" xfId="0" applyBorder="1"/>
    <xf numFmtId="0" fontId="41" fillId="0" borderId="26" xfId="0" applyFont="1" applyBorder="1"/>
    <xf numFmtId="0" fontId="30" fillId="24" borderId="57" xfId="82" applyFont="1" applyBorder="1" applyAlignment="1" applyProtection="1">
      <alignment horizontal="right" vertical="center" wrapText="1"/>
    </xf>
    <xf numFmtId="0" fontId="30" fillId="24" borderId="59" xfId="82" applyFont="1" applyBorder="1" applyAlignment="1" applyProtection="1">
      <alignment horizontal="right" vertical="center" wrapText="1"/>
    </xf>
    <xf numFmtId="0" fontId="45" fillId="23" borderId="15" xfId="0" applyFont="1" applyFill="1" applyBorder="1" applyAlignment="1" applyProtection="1">
      <alignment vertical="center"/>
      <protection hidden="1"/>
    </xf>
    <xf numFmtId="0" fontId="45" fillId="23" borderId="17" xfId="0" applyFont="1" applyFill="1" applyBorder="1" applyAlignment="1" applyProtection="1">
      <alignment vertical="center"/>
      <protection hidden="1"/>
    </xf>
    <xf numFmtId="0" fontId="0" fillId="0" borderId="53" xfId="0" applyBorder="1"/>
    <xf numFmtId="0" fontId="18" fillId="23" borderId="15" xfId="0" applyFont="1" applyFill="1" applyBorder="1" applyAlignment="1">
      <alignment horizontal="left" vertical="center"/>
    </xf>
    <xf numFmtId="0" fontId="18" fillId="23" borderId="16" xfId="0" applyFont="1" applyFill="1" applyBorder="1" applyAlignment="1">
      <alignment horizontal="left" vertical="center"/>
    </xf>
    <xf numFmtId="0" fontId="0" fillId="0" borderId="79" xfId="0" applyBorder="1"/>
    <xf numFmtId="10" fontId="0" fillId="23" borderId="18" xfId="0" applyNumberFormat="1" applyFill="1" applyBorder="1" applyAlignment="1">
      <alignment vertical="center"/>
    </xf>
    <xf numFmtId="0" fontId="45" fillId="23" borderId="18" xfId="0" applyFont="1" applyFill="1" applyBorder="1" applyAlignment="1" applyProtection="1">
      <alignment vertical="center"/>
      <protection hidden="1"/>
    </xf>
    <xf numFmtId="0" fontId="45" fillId="23" borderId="23" xfId="0" applyFont="1" applyFill="1" applyBorder="1" applyAlignment="1" applyProtection="1">
      <alignment vertical="center"/>
      <protection hidden="1"/>
    </xf>
    <xf numFmtId="0" fontId="29" fillId="26" borderId="18" xfId="82" applyFill="1" applyBorder="1" applyAlignment="1" applyProtection="1">
      <alignment vertical="center" wrapText="1"/>
    </xf>
    <xf numFmtId="0" fontId="29" fillId="26" borderId="0" xfId="82" applyFill="1" applyBorder="1" applyAlignment="1" applyProtection="1">
      <alignment vertical="center" wrapText="1"/>
    </xf>
    <xf numFmtId="0" fontId="29" fillId="26" borderId="27" xfId="82" applyFill="1" applyBorder="1" applyAlignment="1" applyProtection="1">
      <alignment vertical="center" wrapText="1"/>
    </xf>
    <xf numFmtId="0" fontId="27" fillId="23" borderId="0" xfId="0" applyFont="1" applyFill="1" applyAlignment="1">
      <alignment vertical="center"/>
    </xf>
    <xf numFmtId="0" fontId="26" fillId="23" borderId="62" xfId="0" applyFont="1" applyFill="1" applyBorder="1" applyAlignment="1">
      <alignment vertical="center"/>
    </xf>
    <xf numFmtId="0" fontId="0" fillId="23" borderId="60" xfId="0" applyFill="1" applyBorder="1" applyAlignment="1">
      <alignment vertical="center"/>
    </xf>
    <xf numFmtId="0" fontId="26" fillId="23" borderId="65" xfId="0" applyFont="1" applyFill="1" applyBorder="1" applyAlignment="1">
      <alignment vertical="center"/>
    </xf>
    <xf numFmtId="0" fontId="26" fillId="23" borderId="78" xfId="0" applyFont="1" applyFill="1" applyBorder="1" applyAlignment="1">
      <alignment vertical="center"/>
    </xf>
    <xf numFmtId="0" fontId="0" fillId="23" borderId="57" xfId="0" applyFill="1" applyBorder="1" applyAlignment="1">
      <alignment vertical="center"/>
    </xf>
    <xf numFmtId="0" fontId="27" fillId="23" borderId="27" xfId="0" applyFont="1" applyFill="1" applyBorder="1" applyAlignment="1">
      <alignment horizontal="right" vertical="center" wrapText="1"/>
    </xf>
    <xf numFmtId="0" fontId="0" fillId="23" borderId="55" xfId="0" applyFill="1" applyBorder="1" applyAlignment="1">
      <alignment vertical="center" wrapText="1"/>
    </xf>
    <xf numFmtId="0" fontId="27" fillId="23" borderId="27" xfId="0" applyFont="1" applyFill="1" applyBorder="1" applyAlignment="1">
      <alignment horizontal="right" vertical="center"/>
    </xf>
    <xf numFmtId="0" fontId="0" fillId="23" borderId="31" xfId="0" applyFill="1" applyBorder="1" applyAlignment="1">
      <alignment vertical="center" wrapText="1"/>
    </xf>
    <xf numFmtId="0" fontId="29" fillId="26" borderId="26" xfId="82" applyFill="1" applyBorder="1" applyAlignment="1" applyProtection="1">
      <alignment horizontal="left" vertical="center" wrapText="1"/>
    </xf>
    <xf numFmtId="0" fontId="30" fillId="24" borderId="26" xfId="82" applyFont="1" applyBorder="1" applyAlignment="1" applyProtection="1">
      <alignment horizontal="left" vertical="center" wrapText="1"/>
    </xf>
    <xf numFmtId="0" fontId="0" fillId="23" borderId="59" xfId="0" applyFill="1" applyBorder="1" applyAlignment="1">
      <alignment vertical="center"/>
    </xf>
    <xf numFmtId="0" fontId="27" fillId="23" borderId="27" xfId="0" applyFont="1" applyFill="1" applyBorder="1" applyAlignment="1">
      <alignment vertical="center"/>
    </xf>
    <xf numFmtId="0" fontId="27" fillId="23" borderId="56" xfId="0" applyFont="1" applyFill="1" applyBorder="1" applyAlignment="1">
      <alignment vertical="center"/>
    </xf>
    <xf numFmtId="0" fontId="48" fillId="23" borderId="27" xfId="0" applyFont="1" applyFill="1" applyBorder="1" applyAlignment="1">
      <alignment vertical="center"/>
    </xf>
    <xf numFmtId="0" fontId="27" fillId="23" borderId="61" xfId="0" applyFont="1" applyFill="1" applyBorder="1" applyAlignment="1">
      <alignment horizontal="right" vertical="center"/>
    </xf>
    <xf numFmtId="0" fontId="27" fillId="23" borderId="62" xfId="0" applyFont="1" applyFill="1" applyBorder="1" applyAlignment="1">
      <alignment horizontal="right" vertical="center"/>
    </xf>
    <xf numFmtId="0" fontId="0" fillId="23" borderId="17" xfId="0" applyFill="1" applyBorder="1" applyAlignment="1">
      <alignment vertical="center" wrapText="1"/>
    </xf>
    <xf numFmtId="0" fontId="27" fillId="23" borderId="62" xfId="0" applyFont="1" applyFill="1" applyBorder="1" applyAlignment="1">
      <alignment horizontal="right" vertical="center" wrapText="1"/>
    </xf>
    <xf numFmtId="0" fontId="0" fillId="23" borderId="65" xfId="0" applyFill="1" applyBorder="1" applyAlignment="1">
      <alignment vertical="center"/>
    </xf>
    <xf numFmtId="0" fontId="18" fillId="0" borderId="48" xfId="0" applyFont="1" applyBorder="1"/>
    <xf numFmtId="0" fontId="29" fillId="26" borderId="82" xfId="82" applyFill="1" applyBorder="1" applyAlignment="1" applyProtection="1">
      <alignment horizontal="center" vertical="center" wrapText="1"/>
    </xf>
    <xf numFmtId="0" fontId="30" fillId="24" borderId="82" xfId="82" applyFont="1" applyBorder="1" applyAlignment="1" applyProtection="1">
      <alignment horizontal="left" vertical="center" wrapText="1"/>
    </xf>
    <xf numFmtId="0" fontId="29" fillId="26" borderId="82" xfId="82" applyFill="1" applyBorder="1" applyAlignment="1" applyProtection="1">
      <alignment horizontal="left" vertical="center" wrapText="1"/>
    </xf>
    <xf numFmtId="0" fontId="30" fillId="24" borderId="82" xfId="82" applyFont="1" applyBorder="1" applyAlignment="1" applyProtection="1">
      <alignment horizontal="left" vertical="center" wrapText="1" indent="4"/>
    </xf>
    <xf numFmtId="0" fontId="18" fillId="0" borderId="48" xfId="0" applyFont="1" applyBorder="1" applyAlignment="1">
      <alignment vertical="center"/>
    </xf>
    <xf numFmtId="0" fontId="18" fillId="0" borderId="82" xfId="0" applyFont="1" applyBorder="1" applyAlignment="1">
      <alignment vertical="center"/>
    </xf>
    <xf numFmtId="0" fontId="30" fillId="24" borderId="82" xfId="82" applyFont="1" applyBorder="1" applyAlignment="1" applyProtection="1">
      <alignment vertical="center" wrapText="1"/>
    </xf>
    <xf numFmtId="0" fontId="0" fillId="0" borderId="82" xfId="0" applyBorder="1"/>
    <xf numFmtId="0" fontId="30" fillId="24" borderId="83" xfId="82" applyFont="1" applyBorder="1" applyAlignment="1" applyProtection="1">
      <alignment horizontal="left" vertical="center"/>
    </xf>
    <xf numFmtId="170" fontId="32" fillId="24" borderId="43" xfId="83" applyNumberFormat="1" applyFont="1" applyBorder="1" applyAlignment="1" applyProtection="1">
      <alignment horizontal="center" vertical="center" wrapText="1"/>
    </xf>
    <xf numFmtId="170" fontId="32" fillId="24" borderId="77" xfId="83" applyNumberFormat="1" applyFont="1" applyBorder="1" applyAlignment="1" applyProtection="1">
      <alignment horizontal="center" vertical="center" wrapText="1"/>
    </xf>
    <xf numFmtId="0" fontId="0" fillId="23" borderId="0" xfId="0" applyFill="1" applyAlignment="1">
      <alignment vertical="center" wrapText="1"/>
    </xf>
    <xf numFmtId="168" fontId="32" fillId="24" borderId="39" xfId="83" applyNumberFormat="1" applyFont="1" applyBorder="1" applyAlignment="1" applyProtection="1">
      <alignment horizontal="center" vertical="center" wrapText="1"/>
    </xf>
    <xf numFmtId="0" fontId="23" fillId="0" borderId="0" xfId="0" applyFont="1" applyAlignment="1">
      <alignment vertical="top" wrapText="1"/>
    </xf>
    <xf numFmtId="0" fontId="41" fillId="23" borderId="16" xfId="0" applyFont="1" applyFill="1" applyBorder="1"/>
    <xf numFmtId="0" fontId="27" fillId="23" borderId="74" xfId="0" applyFont="1" applyFill="1" applyBorder="1" applyAlignment="1">
      <alignment horizontal="right" vertical="center" wrapText="1"/>
    </xf>
    <xf numFmtId="0" fontId="26" fillId="23" borderId="74" xfId="0" applyFont="1" applyFill="1" applyBorder="1" applyAlignment="1">
      <alignment vertical="center"/>
    </xf>
    <xf numFmtId="0" fontId="18" fillId="23" borderId="16" xfId="0" applyFont="1" applyFill="1" applyBorder="1"/>
    <xf numFmtId="0" fontId="18" fillId="23" borderId="24" xfId="0" applyFont="1" applyFill="1" applyBorder="1" applyAlignment="1">
      <alignment vertical="center"/>
    </xf>
    <xf numFmtId="0" fontId="0" fillId="23" borderId="25" xfId="81" applyFont="1" applyFill="1" applyBorder="1" applyAlignment="1" applyProtection="1">
      <alignment vertical="center"/>
    </xf>
    <xf numFmtId="168" fontId="32" fillId="26" borderId="38" xfId="82" applyNumberFormat="1" applyFont="1" applyFill="1" applyBorder="1" applyAlignment="1" applyProtection="1">
      <alignment horizontal="center" vertical="center" wrapText="1"/>
    </xf>
    <xf numFmtId="168" fontId="32" fillId="26" borderId="39" xfId="82" applyNumberFormat="1" applyFont="1" applyFill="1" applyBorder="1" applyAlignment="1" applyProtection="1">
      <alignment horizontal="center" vertical="center" wrapText="1"/>
    </xf>
    <xf numFmtId="0" fontId="0" fillId="23" borderId="56" xfId="0" applyFill="1" applyBorder="1" applyAlignment="1">
      <alignment horizontal="left" vertical="center"/>
    </xf>
    <xf numFmtId="0" fontId="0" fillId="23" borderId="56" xfId="0" applyFill="1" applyBorder="1" applyAlignment="1">
      <alignment horizontal="left" vertical="center" wrapText="1"/>
    </xf>
    <xf numFmtId="169" fontId="27" fillId="23" borderId="56" xfId="0" applyNumberFormat="1" applyFont="1" applyFill="1" applyBorder="1" applyAlignment="1">
      <alignment horizontal="right" vertical="center"/>
    </xf>
    <xf numFmtId="0" fontId="0" fillId="23" borderId="56" xfId="0" applyFill="1" applyBorder="1" applyAlignment="1">
      <alignment vertical="center"/>
    </xf>
    <xf numFmtId="0" fontId="26" fillId="23" borderId="61" xfId="0" applyFont="1" applyFill="1" applyBorder="1" applyAlignment="1">
      <alignment vertical="center"/>
    </xf>
    <xf numFmtId="10" fontId="27" fillId="23" borderId="27" xfId="0" applyNumberFormat="1" applyFont="1" applyFill="1" applyBorder="1" applyAlignment="1">
      <alignment horizontal="right" vertical="center"/>
    </xf>
    <xf numFmtId="170" fontId="32" fillId="24" borderId="82" xfId="83" applyNumberFormat="1" applyFont="1" applyBorder="1" applyAlignment="1" applyProtection="1">
      <alignment horizontal="center" vertical="center" wrapText="1"/>
    </xf>
    <xf numFmtId="168" fontId="32" fillId="26" borderId="82" xfId="82" applyNumberFormat="1" applyFont="1" applyFill="1" applyBorder="1" applyAlignment="1" applyProtection="1">
      <alignment horizontal="center" vertical="center" wrapText="1"/>
    </xf>
    <xf numFmtId="167" fontId="32" fillId="24" borderId="82" xfId="83" applyNumberFormat="1" applyFont="1" applyBorder="1" applyAlignment="1" applyProtection="1">
      <alignment horizontal="center" vertical="center" wrapText="1"/>
    </xf>
    <xf numFmtId="0" fontId="29" fillId="26" borderId="48" xfId="82" applyFill="1" applyBorder="1" applyAlignment="1" applyProtection="1">
      <alignment horizontal="center" vertical="center" wrapText="1"/>
    </xf>
    <xf numFmtId="0" fontId="46" fillId="26" borderId="48" xfId="82" applyFont="1" applyFill="1" applyBorder="1" applyAlignment="1" applyProtection="1">
      <alignment horizontal="center" vertical="center" wrapText="1"/>
    </xf>
    <xf numFmtId="0" fontId="51" fillId="0" borderId="0" xfId="0" applyFont="1"/>
    <xf numFmtId="0" fontId="0" fillId="23" borderId="16" xfId="0" applyFill="1" applyBorder="1" applyAlignment="1">
      <alignment horizontal="left" vertical="center"/>
    </xf>
    <xf numFmtId="10" fontId="26" fillId="23" borderId="15" xfId="0" applyNumberFormat="1" applyFont="1" applyFill="1" applyBorder="1" applyAlignment="1">
      <alignment vertical="center"/>
    </xf>
    <xf numFmtId="10" fontId="26" fillId="23" borderId="16" xfId="0" applyNumberFormat="1" applyFont="1" applyFill="1" applyBorder="1" applyAlignment="1">
      <alignment vertical="center"/>
    </xf>
    <xf numFmtId="10" fontId="26" fillId="23" borderId="18" xfId="0" applyNumberFormat="1" applyFont="1" applyFill="1" applyBorder="1" applyAlignment="1">
      <alignment vertical="center"/>
    </xf>
    <xf numFmtId="10" fontId="26" fillId="23" borderId="23" xfId="0" applyNumberFormat="1" applyFont="1" applyFill="1" applyBorder="1" applyAlignment="1">
      <alignment vertical="center"/>
    </xf>
    <xf numFmtId="10" fontId="26" fillId="23" borderId="24" xfId="0" applyNumberFormat="1" applyFont="1" applyFill="1" applyBorder="1" applyAlignment="1">
      <alignment vertical="center"/>
    </xf>
    <xf numFmtId="0" fontId="0" fillId="22" borderId="59" xfId="0" applyFill="1" applyBorder="1" applyAlignment="1">
      <alignment horizontal="left" vertical="center" wrapText="1"/>
    </xf>
    <xf numFmtId="170" fontId="32" fillId="24" borderId="59" xfId="83" applyNumberFormat="1" applyFont="1" applyBorder="1" applyAlignment="1" applyProtection="1">
      <alignment horizontal="center" vertical="center" wrapText="1"/>
    </xf>
    <xf numFmtId="0" fontId="0" fillId="23" borderId="62" xfId="0" applyFill="1" applyBorder="1" applyAlignment="1">
      <alignment vertical="center"/>
    </xf>
    <xf numFmtId="0" fontId="37" fillId="23" borderId="62" xfId="0" applyFont="1" applyFill="1" applyBorder="1" applyAlignment="1">
      <alignment vertical="center"/>
    </xf>
    <xf numFmtId="0" fontId="26" fillId="23" borderId="27" xfId="0" applyFont="1" applyFill="1" applyBorder="1" applyAlignment="1">
      <alignment vertical="center"/>
    </xf>
    <xf numFmtId="0" fontId="0" fillId="23" borderId="27" xfId="0" applyFill="1" applyBorder="1" applyAlignment="1">
      <alignment horizontal="left" vertical="center"/>
    </xf>
    <xf numFmtId="10" fontId="26" fillId="23" borderId="28" xfId="0" applyNumberFormat="1" applyFont="1" applyFill="1" applyBorder="1" applyAlignment="1">
      <alignment vertical="center"/>
    </xf>
    <xf numFmtId="9" fontId="0" fillId="23" borderId="27" xfId="0" applyNumberFormat="1" applyFill="1" applyBorder="1" applyAlignment="1">
      <alignment horizontal="left" vertical="center"/>
    </xf>
    <xf numFmtId="170" fontId="32" fillId="24" borderId="47" xfId="83" applyNumberFormat="1" applyFont="1" applyBorder="1" applyAlignment="1" applyProtection="1">
      <alignment horizontal="center" vertical="center" wrapText="1"/>
    </xf>
    <xf numFmtId="0" fontId="0" fillId="23" borderId="61" xfId="0" applyFill="1" applyBorder="1" applyAlignment="1">
      <alignment vertical="center"/>
    </xf>
    <xf numFmtId="0" fontId="37" fillId="23" borderId="48" xfId="0" applyFont="1" applyFill="1" applyBorder="1" applyAlignment="1">
      <alignment vertical="center"/>
    </xf>
    <xf numFmtId="0" fontId="37" fillId="23" borderId="82" xfId="0" applyFont="1" applyFill="1" applyBorder="1"/>
    <xf numFmtId="0" fontId="37" fillId="23" borderId="82" xfId="0" applyFont="1" applyFill="1" applyBorder="1" applyAlignment="1">
      <alignment vertical="center"/>
    </xf>
    <xf numFmtId="0" fontId="37" fillId="23" borderId="83" xfId="0" applyFont="1" applyFill="1" applyBorder="1" applyAlignment="1">
      <alignment vertical="center"/>
    </xf>
    <xf numFmtId="168" fontId="32" fillId="24" borderId="50" xfId="83" applyNumberFormat="1" applyFont="1" applyBorder="1" applyAlignment="1" applyProtection="1">
      <alignment horizontal="center" vertical="center" wrapText="1"/>
    </xf>
    <xf numFmtId="170" fontId="32" fillId="24" borderId="84" xfId="83" applyNumberFormat="1" applyFont="1" applyBorder="1" applyAlignment="1" applyProtection="1">
      <alignment horizontal="center" vertical="center" wrapText="1"/>
    </xf>
    <xf numFmtId="170" fontId="44" fillId="23" borderId="77" xfId="83" applyNumberFormat="1" applyFont="1" applyFill="1" applyBorder="1" applyAlignment="1" applyProtection="1">
      <alignment horizontal="center" vertical="center" wrapText="1"/>
    </xf>
    <xf numFmtId="170" fontId="44" fillId="23" borderId="72" xfId="83" applyNumberFormat="1" applyFont="1" applyFill="1" applyBorder="1" applyAlignment="1" applyProtection="1">
      <alignment horizontal="center" vertical="center" wrapText="1"/>
    </xf>
    <xf numFmtId="170" fontId="44" fillId="23" borderId="85" xfId="83" applyNumberFormat="1" applyFont="1" applyFill="1" applyBorder="1" applyAlignment="1" applyProtection="1">
      <alignment horizontal="center" vertical="center" wrapText="1"/>
    </xf>
    <xf numFmtId="170" fontId="44" fillId="23" borderId="19" xfId="83" applyNumberFormat="1" applyFont="1" applyFill="1" applyBorder="1" applyAlignment="1" applyProtection="1">
      <alignment horizontal="center" vertical="center" wrapText="1"/>
    </xf>
    <xf numFmtId="170" fontId="44" fillId="23" borderId="41" xfId="83" applyNumberFormat="1" applyFont="1" applyFill="1" applyBorder="1" applyAlignment="1" applyProtection="1">
      <alignment horizontal="center" vertical="center" wrapText="1"/>
    </xf>
    <xf numFmtId="0" fontId="29" fillId="26" borderId="0" xfId="82" applyFill="1" applyBorder="1" applyAlignment="1" applyProtection="1">
      <alignment horizontal="center" vertical="center" wrapText="1"/>
    </xf>
    <xf numFmtId="0" fontId="29" fillId="26" borderId="20" xfId="82" applyFill="1" applyBorder="1" applyAlignment="1" applyProtection="1">
      <alignment horizontal="center" vertical="center" wrapText="1"/>
    </xf>
    <xf numFmtId="0" fontId="30" fillId="24" borderId="18" xfId="82" applyFont="1" applyBorder="1" applyAlignment="1" applyProtection="1">
      <alignment horizontal="center"/>
    </xf>
    <xf numFmtId="0" fontId="30" fillId="24" borderId="20" xfId="82" applyFont="1" applyBorder="1" applyAlignment="1" applyProtection="1">
      <alignment horizontal="center"/>
    </xf>
    <xf numFmtId="168" fontId="32" fillId="24" borderId="77" xfId="83" applyNumberFormat="1" applyFont="1" applyBorder="1" applyAlignment="1" applyProtection="1">
      <alignment horizontal="center" vertical="center" wrapText="1"/>
    </xf>
    <xf numFmtId="0" fontId="32" fillId="26" borderId="38" xfId="82" applyFont="1" applyFill="1" applyBorder="1" applyAlignment="1" applyProtection="1">
      <alignment horizontal="center" vertical="center"/>
    </xf>
    <xf numFmtId="0" fontId="32" fillId="26" borderId="39" xfId="82" applyFont="1" applyFill="1" applyBorder="1" applyAlignment="1" applyProtection="1">
      <alignment horizontal="center" vertical="center" wrapText="1"/>
    </xf>
    <xf numFmtId="0" fontId="32" fillId="26" borderId="57" xfId="82" applyFont="1" applyFill="1" applyBorder="1" applyAlignment="1" applyProtection="1">
      <alignment horizontal="center" vertical="center"/>
    </xf>
    <xf numFmtId="0" fontId="38" fillId="0" borderId="0" xfId="0" applyFont="1"/>
    <xf numFmtId="0" fontId="40" fillId="0" borderId="0" xfId="0" applyFont="1"/>
    <xf numFmtId="165" fontId="0" fillId="0" borderId="0" xfId="0" applyNumberFormat="1"/>
    <xf numFmtId="10" fontId="26" fillId="23" borderId="17" xfId="0" applyNumberFormat="1" applyFont="1" applyFill="1" applyBorder="1" applyAlignment="1">
      <alignment vertical="center"/>
    </xf>
    <xf numFmtId="168" fontId="40" fillId="0" borderId="20" xfId="0" applyNumberFormat="1" applyFont="1" applyBorder="1"/>
    <xf numFmtId="0" fontId="40" fillId="0" borderId="24" xfId="0" applyFont="1" applyBorder="1"/>
    <xf numFmtId="168" fontId="40" fillId="0" borderId="25" xfId="0" applyNumberFormat="1" applyFont="1" applyBorder="1"/>
    <xf numFmtId="2" fontId="40" fillId="0" borderId="0" xfId="68" applyNumberFormat="1" applyFont="1" applyAlignment="1">
      <alignment wrapText="1"/>
    </xf>
    <xf numFmtId="168" fontId="40" fillId="0" borderId="0" xfId="68" applyNumberFormat="1" applyFont="1" applyAlignment="1">
      <alignment wrapText="1"/>
    </xf>
    <xf numFmtId="0" fontId="40" fillId="0" borderId="20" xfId="68" applyFont="1" applyBorder="1" applyAlignment="1">
      <alignment wrapText="1"/>
    </xf>
    <xf numFmtId="171" fontId="40" fillId="0" borderId="0" xfId="68" applyNumberFormat="1" applyFont="1" applyAlignment="1">
      <alignment wrapText="1"/>
    </xf>
    <xf numFmtId="171" fontId="40" fillId="0" borderId="20" xfId="68" applyNumberFormat="1" applyFont="1" applyBorder="1" applyAlignment="1">
      <alignment wrapText="1"/>
    </xf>
    <xf numFmtId="0" fontId="0" fillId="0" borderId="80" xfId="0" applyBorder="1"/>
    <xf numFmtId="0" fontId="0" fillId="0" borderId="86" xfId="0" applyBorder="1"/>
    <xf numFmtId="0" fontId="0" fillId="0" borderId="29" xfId="0" applyBorder="1"/>
    <xf numFmtId="0" fontId="0" fillId="0" borderId="62" xfId="0" applyBorder="1"/>
    <xf numFmtId="9" fontId="0" fillId="0" borderId="0" xfId="0" applyNumberFormat="1" applyAlignment="1">
      <alignment horizontal="left"/>
    </xf>
    <xf numFmtId="9" fontId="0" fillId="0" borderId="21" xfId="0" applyNumberFormat="1" applyBorder="1" applyAlignment="1" applyProtection="1">
      <alignment horizontal="right" vertical="center"/>
      <protection locked="0"/>
    </xf>
    <xf numFmtId="0" fontId="52" fillId="23" borderId="20" xfId="0" applyFont="1" applyFill="1" applyBorder="1"/>
    <xf numFmtId="0" fontId="29" fillId="26" borderId="81" xfId="82" applyFill="1" applyBorder="1" applyAlignment="1" applyProtection="1">
      <alignment horizontal="center" vertical="center" wrapText="1"/>
    </xf>
    <xf numFmtId="0" fontId="29" fillId="26" borderId="63" xfId="82" applyFill="1" applyBorder="1" applyAlignment="1" applyProtection="1">
      <alignment horizontal="center" vertical="center" wrapText="1"/>
    </xf>
    <xf numFmtId="0" fontId="0" fillId="0" borderId="57" xfId="0" applyBorder="1"/>
    <xf numFmtId="0" fontId="18" fillId="22" borderId="58" xfId="0" applyFont="1" applyFill="1" applyBorder="1" applyAlignment="1">
      <alignment horizontal="left" vertical="center" wrapText="1"/>
    </xf>
    <xf numFmtId="0" fontId="18" fillId="22" borderId="53" xfId="0" applyFont="1" applyFill="1" applyBorder="1" applyAlignment="1">
      <alignment horizontal="left" vertical="center" wrapText="1"/>
    </xf>
    <xf numFmtId="0" fontId="0" fillId="23" borderId="15" xfId="0" applyFill="1" applyBorder="1" applyAlignment="1">
      <alignment vertical="center"/>
    </xf>
    <xf numFmtId="0" fontId="48" fillId="23" borderId="16" xfId="0" applyFont="1" applyFill="1" applyBorder="1" applyAlignment="1">
      <alignment vertical="center"/>
    </xf>
    <xf numFmtId="0" fontId="27" fillId="23" borderId="17" xfId="0" applyFont="1" applyFill="1" applyBorder="1" applyAlignment="1">
      <alignment vertical="center"/>
    </xf>
    <xf numFmtId="0" fontId="48" fillId="23" borderId="0" xfId="0" applyFont="1" applyFill="1" applyAlignment="1">
      <alignment vertical="center"/>
    </xf>
    <xf numFmtId="0" fontId="27" fillId="23" borderId="20" xfId="0" applyFont="1" applyFill="1" applyBorder="1" applyAlignment="1">
      <alignment vertical="center"/>
    </xf>
    <xf numFmtId="9" fontId="27" fillId="23" borderId="0" xfId="85" applyFont="1" applyFill="1" applyBorder="1" applyAlignment="1">
      <alignment horizontal="right" vertical="center"/>
    </xf>
    <xf numFmtId="0" fontId="48" fillId="23" borderId="24" xfId="0" applyFont="1" applyFill="1" applyBorder="1" applyAlignment="1">
      <alignment vertical="center"/>
    </xf>
    <xf numFmtId="0" fontId="30" fillId="24" borderId="31" xfId="82" applyFont="1" applyBorder="1" applyAlignment="1" applyProtection="1">
      <alignment horizontal="left" vertical="center" wrapText="1"/>
    </xf>
    <xf numFmtId="0" fontId="0" fillId="0" borderId="31" xfId="0" applyBorder="1"/>
    <xf numFmtId="0" fontId="30" fillId="24" borderId="18" xfId="82" applyFont="1" applyBorder="1" applyAlignment="1" applyProtection="1">
      <alignment horizontal="left" vertical="center" wrapText="1" indent="4"/>
    </xf>
    <xf numFmtId="0" fontId="30" fillId="24" borderId="58" xfId="82" applyFont="1" applyBorder="1" applyAlignment="1" applyProtection="1">
      <alignment horizontal="left" vertical="center" wrapText="1" indent="4"/>
    </xf>
    <xf numFmtId="0" fontId="0" fillId="0" borderId="58" xfId="0" applyBorder="1"/>
    <xf numFmtId="0" fontId="30" fillId="24" borderId="30" xfId="82" applyFont="1" applyBorder="1" applyAlignment="1" applyProtection="1">
      <alignment horizontal="left" vertical="center" wrapText="1"/>
    </xf>
    <xf numFmtId="0" fontId="30" fillId="24" borderId="33" xfId="82" applyFont="1" applyBorder="1" applyAlignment="1" applyProtection="1">
      <alignment horizontal="left" vertical="center" wrapText="1" indent="4"/>
    </xf>
    <xf numFmtId="0" fontId="30" fillId="24" borderId="52" xfId="82" applyFont="1" applyBorder="1" applyAlignment="1" applyProtection="1">
      <alignment horizontal="left" vertical="center" wrapText="1" indent="4"/>
    </xf>
    <xf numFmtId="0" fontId="0" fillId="23" borderId="15" xfId="0" applyFill="1" applyBorder="1" applyAlignment="1">
      <alignment horizontal="left" vertical="center"/>
    </xf>
    <xf numFmtId="0" fontId="0" fillId="23" borderId="16" xfId="0" applyFill="1" applyBorder="1" applyAlignment="1">
      <alignment horizontal="left" vertical="center" wrapText="1" indent="4"/>
    </xf>
    <xf numFmtId="0" fontId="26" fillId="23" borderId="17" xfId="0" applyFont="1" applyFill="1" applyBorder="1" applyAlignment="1">
      <alignment vertical="center"/>
    </xf>
    <xf numFmtId="0" fontId="0" fillId="23" borderId="0" xfId="0" applyFill="1" applyAlignment="1">
      <alignment horizontal="left" vertical="center" wrapText="1" indent="4"/>
    </xf>
    <xf numFmtId="168" fontId="27" fillId="23" borderId="0" xfId="0" applyNumberFormat="1" applyFont="1" applyFill="1" applyAlignment="1">
      <alignment horizontal="right" vertical="center"/>
    </xf>
    <xf numFmtId="10" fontId="27" fillId="23" borderId="24" xfId="0" applyNumberFormat="1" applyFont="1" applyFill="1" applyBorder="1" applyAlignment="1">
      <alignment horizontal="right" vertical="center"/>
    </xf>
    <xf numFmtId="10" fontId="0" fillId="23" borderId="24" xfId="0" applyNumberFormat="1" applyFill="1" applyBorder="1" applyAlignment="1">
      <alignment vertical="center"/>
    </xf>
    <xf numFmtId="0" fontId="55" fillId="0" borderId="0" xfId="0" applyFont="1"/>
    <xf numFmtId="0" fontId="0" fillId="23" borderId="48" xfId="0" applyFill="1" applyBorder="1" applyAlignment="1">
      <alignment horizontal="left" vertical="center"/>
    </xf>
    <xf numFmtId="0" fontId="0" fillId="23" borderId="16" xfId="0" applyFill="1" applyBorder="1" applyAlignment="1">
      <alignment horizontal="right" vertical="center"/>
    </xf>
    <xf numFmtId="0" fontId="56" fillId="0" borderId="0" xfId="0" applyFont="1"/>
    <xf numFmtId="0" fontId="57" fillId="23" borderId="20" xfId="0" applyFont="1" applyFill="1" applyBorder="1" applyAlignment="1">
      <alignment vertical="center"/>
    </xf>
    <xf numFmtId="10" fontId="57" fillId="23" borderId="20" xfId="0" applyNumberFormat="1" applyFont="1" applyFill="1" applyBorder="1" applyAlignment="1">
      <alignment vertical="center"/>
    </xf>
    <xf numFmtId="10" fontId="57" fillId="23" borderId="25" xfId="0" applyNumberFormat="1" applyFont="1" applyFill="1" applyBorder="1" applyAlignment="1">
      <alignment vertical="center"/>
    </xf>
    <xf numFmtId="0" fontId="58" fillId="23" borderId="39" xfId="0" applyFont="1" applyFill="1" applyBorder="1" applyAlignment="1">
      <alignment horizontal="center" vertical="center" wrapText="1"/>
    </xf>
    <xf numFmtId="0" fontId="58" fillId="23" borderId="41" xfId="0" applyFont="1" applyFill="1" applyBorder="1" applyAlignment="1">
      <alignment horizontal="center" vertical="center" wrapText="1"/>
    </xf>
    <xf numFmtId="165" fontId="56" fillId="0" borderId="0" xfId="0" applyNumberFormat="1" applyFont="1"/>
    <xf numFmtId="0" fontId="56" fillId="0" borderId="0" xfId="0" applyFont="1" applyAlignment="1">
      <alignment vertical="center"/>
    </xf>
    <xf numFmtId="0" fontId="41" fillId="0" borderId="21" xfId="0" applyFont="1" applyBorder="1" applyAlignment="1" applyProtection="1">
      <alignment horizontal="right" vertical="center"/>
      <protection locked="0"/>
    </xf>
    <xf numFmtId="2" fontId="56" fillId="23" borderId="21" xfId="0" applyNumberFormat="1" applyFont="1" applyFill="1" applyBorder="1"/>
    <xf numFmtId="0" fontId="54" fillId="23" borderId="0" xfId="0" applyFont="1" applyFill="1" applyAlignment="1">
      <alignment vertical="center"/>
    </xf>
    <xf numFmtId="10" fontId="33" fillId="24" borderId="45" xfId="83" applyNumberFormat="1" applyFont="1" applyBorder="1" applyAlignment="1" applyProtection="1">
      <alignment horizontal="center" vertical="center" wrapText="1"/>
    </xf>
    <xf numFmtId="10" fontId="33" fillId="24" borderId="50" xfId="83" applyNumberFormat="1" applyFont="1" applyBorder="1" applyAlignment="1" applyProtection="1">
      <alignment horizontal="center" vertical="center" wrapText="1"/>
    </xf>
    <xf numFmtId="10" fontId="33" fillId="24" borderId="38" xfId="83" applyNumberFormat="1" applyFont="1" applyBorder="1" applyAlignment="1" applyProtection="1">
      <alignment horizontal="center" vertical="center" wrapText="1"/>
    </xf>
    <xf numFmtId="10" fontId="33" fillId="24" borderId="39" xfId="83" applyNumberFormat="1" applyFont="1" applyBorder="1" applyAlignment="1" applyProtection="1">
      <alignment horizontal="center" vertical="center" wrapText="1"/>
    </xf>
    <xf numFmtId="10" fontId="33" fillId="24" borderId="46" xfId="83" applyNumberFormat="1" applyFont="1" applyBorder="1" applyAlignment="1" applyProtection="1">
      <alignment horizontal="center" vertical="center" wrapText="1"/>
    </xf>
    <xf numFmtId="10" fontId="33" fillId="24" borderId="21" xfId="83" applyNumberFormat="1" applyFont="1" applyBorder="1" applyAlignment="1" applyProtection="1">
      <alignment horizontal="center" vertical="center" wrapText="1"/>
    </xf>
    <xf numFmtId="168" fontId="32" fillId="26" borderId="77" xfId="82" applyNumberFormat="1" applyFont="1" applyFill="1" applyBorder="1" applyAlignment="1" applyProtection="1">
      <alignment horizontal="center" vertical="center" wrapText="1"/>
    </xf>
    <xf numFmtId="2" fontId="33" fillId="24" borderId="39" xfId="83" applyNumberFormat="1" applyFont="1" applyBorder="1" applyAlignment="1" applyProtection="1">
      <alignment horizontal="center" vertical="center" wrapText="1"/>
    </xf>
    <xf numFmtId="170" fontId="32" fillId="24" borderId="53" xfId="83" applyNumberFormat="1" applyFont="1" applyBorder="1" applyAlignment="1" applyProtection="1">
      <alignment horizontal="center" vertical="center" wrapText="1"/>
    </xf>
    <xf numFmtId="170" fontId="32" fillId="24" borderId="27" xfId="83" applyNumberFormat="1" applyFont="1" applyBorder="1" applyAlignment="1" applyProtection="1">
      <alignment horizontal="center" vertical="center" wrapText="1"/>
    </xf>
    <xf numFmtId="10" fontId="33" fillId="24" borderId="51" xfId="83" applyNumberFormat="1" applyFont="1" applyBorder="1" applyAlignment="1" applyProtection="1">
      <alignment horizontal="center" vertical="center" wrapText="1"/>
    </xf>
    <xf numFmtId="170" fontId="32" fillId="24" borderId="55" xfId="83" applyNumberFormat="1" applyFont="1" applyBorder="1" applyAlignment="1" applyProtection="1">
      <alignment horizontal="center" vertical="center" wrapText="1"/>
    </xf>
    <xf numFmtId="168" fontId="32" fillId="24" borderId="37" xfId="83" applyNumberFormat="1" applyFont="1" applyBorder="1" applyAlignment="1" applyProtection="1">
      <alignment horizontal="center" vertical="center" wrapText="1"/>
    </xf>
    <xf numFmtId="0" fontId="29" fillId="26" borderId="43" xfId="82" applyFill="1" applyBorder="1" applyAlignment="1" applyProtection="1">
      <alignment vertical="center" wrapText="1"/>
    </xf>
    <xf numFmtId="0" fontId="29" fillId="26" borderId="77" xfId="82" applyFill="1" applyBorder="1" applyAlignment="1" applyProtection="1">
      <alignment vertical="center" wrapText="1"/>
    </xf>
    <xf numFmtId="0" fontId="29" fillId="26" borderId="54" xfId="82" applyFill="1" applyBorder="1" applyAlignment="1" applyProtection="1">
      <alignment vertical="center" wrapText="1"/>
    </xf>
    <xf numFmtId="1" fontId="56" fillId="0" borderId="0" xfId="0" applyNumberFormat="1" applyFont="1"/>
    <xf numFmtId="0" fontId="27" fillId="23" borderId="29" xfId="0" applyFont="1" applyFill="1" applyBorder="1" applyAlignment="1">
      <alignment vertical="center"/>
    </xf>
    <xf numFmtId="1" fontId="0" fillId="0" borderId="0" xfId="0" applyNumberFormat="1" applyAlignment="1">
      <alignment horizontal="right"/>
    </xf>
    <xf numFmtId="168" fontId="0" fillId="0" borderId="0" xfId="0" applyNumberFormat="1" applyAlignment="1">
      <alignment horizontal="right"/>
    </xf>
    <xf numFmtId="2" fontId="0" fillId="0" borderId="0" xfId="0" applyNumberFormat="1" applyAlignment="1">
      <alignment horizontal="right"/>
    </xf>
    <xf numFmtId="166" fontId="0" fillId="0" borderId="0" xfId="0" applyNumberFormat="1" applyAlignment="1">
      <alignment horizontal="right"/>
    </xf>
    <xf numFmtId="0" fontId="0" fillId="0" borderId="0" xfId="0" applyAlignment="1">
      <alignment horizontal="left" wrapText="1"/>
    </xf>
    <xf numFmtId="168" fontId="41" fillId="0" borderId="0" xfId="0" applyNumberFormat="1" applyFont="1" applyAlignment="1">
      <alignment wrapText="1"/>
    </xf>
    <xf numFmtId="0" fontId="41" fillId="0" borderId="0" xfId="0" applyFont="1" applyAlignment="1">
      <alignment wrapText="1"/>
    </xf>
    <xf numFmtId="168" fontId="40" fillId="0" borderId="20" xfId="68" applyNumberFormat="1" applyFont="1" applyBorder="1" applyAlignment="1">
      <alignment wrapText="1"/>
    </xf>
    <xf numFmtId="165" fontId="0" fillId="0" borderId="80" xfId="0" applyNumberFormat="1" applyBorder="1"/>
    <xf numFmtId="0" fontId="30" fillId="24" borderId="83" xfId="82" applyFont="1" applyBorder="1" applyAlignment="1" applyProtection="1">
      <alignment vertical="center" wrapText="1"/>
    </xf>
    <xf numFmtId="2" fontId="27" fillId="23" borderId="16" xfId="0" applyNumberFormat="1" applyFont="1" applyFill="1" applyBorder="1" applyAlignment="1">
      <alignment vertical="center"/>
    </xf>
    <xf numFmtId="168" fontId="27" fillId="23" borderId="0" xfId="0" applyNumberFormat="1" applyFont="1" applyFill="1" applyAlignment="1">
      <alignment vertical="center"/>
    </xf>
    <xf numFmtId="170" fontId="27" fillId="23" borderId="0" xfId="0" applyNumberFormat="1" applyFont="1" applyFill="1" applyAlignment="1">
      <alignment vertical="center"/>
    </xf>
    <xf numFmtId="170" fontId="33" fillId="24" borderId="82" xfId="83" applyNumberFormat="1" applyFont="1" applyBorder="1" applyAlignment="1" applyProtection="1">
      <alignment horizontal="center" vertical="center" wrapText="1"/>
    </xf>
    <xf numFmtId="170" fontId="33" fillId="24" borderId="83" xfId="83" applyNumberFormat="1" applyFont="1" applyBorder="1" applyAlignment="1" applyProtection="1">
      <alignment horizontal="center" vertical="center" wrapText="1"/>
    </xf>
    <xf numFmtId="0" fontId="21" fillId="23" borderId="0" xfId="0" applyFont="1" applyFill="1"/>
    <xf numFmtId="2" fontId="56" fillId="33" borderId="21" xfId="81" applyNumberFormat="1" applyFont="1" applyFill="1" applyBorder="1" applyAlignment="1" applyProtection="1">
      <alignment horizontal="right" vertical="center"/>
    </xf>
    <xf numFmtId="0" fontId="26" fillId="23" borderId="28" xfId="0" applyFont="1" applyFill="1" applyBorder="1" applyAlignment="1">
      <alignment vertical="center"/>
    </xf>
    <xf numFmtId="10" fontId="0" fillId="23" borderId="57" xfId="0" applyNumberFormat="1" applyFill="1" applyBorder="1" applyAlignment="1">
      <alignment vertical="center"/>
    </xf>
    <xf numFmtId="0" fontId="45" fillId="23" borderId="57" xfId="0" applyFont="1" applyFill="1" applyBorder="1" applyAlignment="1" applyProtection="1">
      <alignment vertical="center"/>
      <protection hidden="1"/>
    </xf>
    <xf numFmtId="0" fontId="45" fillId="23" borderId="28" xfId="0" applyFont="1" applyFill="1" applyBorder="1" applyAlignment="1" applyProtection="1">
      <alignment vertical="center"/>
      <protection hidden="1"/>
    </xf>
    <xf numFmtId="0" fontId="51" fillId="0" borderId="16" xfId="0" applyFont="1" applyBorder="1"/>
    <xf numFmtId="0" fontId="0" fillId="23" borderId="38" xfId="0" applyFill="1" applyBorder="1" applyAlignment="1">
      <alignment vertical="center"/>
    </xf>
    <xf numFmtId="0" fontId="26" fillId="23" borderId="56" xfId="0" applyFont="1" applyFill="1" applyBorder="1" applyAlignment="1">
      <alignment horizontal="left" vertical="center"/>
    </xf>
    <xf numFmtId="0" fontId="0" fillId="23" borderId="49" xfId="0" applyFill="1" applyBorder="1" applyAlignment="1">
      <alignment horizontal="left" vertical="center"/>
    </xf>
    <xf numFmtId="9" fontId="0" fillId="23" borderId="28" xfId="0" applyNumberFormat="1" applyFill="1" applyBorder="1" applyAlignment="1">
      <alignment horizontal="left" vertical="center"/>
    </xf>
    <xf numFmtId="0" fontId="0" fillId="23" borderId="28" xfId="0" applyFill="1" applyBorder="1" applyAlignment="1">
      <alignment horizontal="left" vertical="center"/>
    </xf>
    <xf numFmtId="0" fontId="27" fillId="23" borderId="28" xfId="0" applyFont="1" applyFill="1" applyBorder="1" applyAlignment="1">
      <alignment vertical="center"/>
    </xf>
    <xf numFmtId="10" fontId="27" fillId="23" borderId="0" xfId="85" applyNumberFormat="1" applyFont="1" applyFill="1" applyAlignment="1">
      <alignment vertical="center"/>
    </xf>
    <xf numFmtId="10" fontId="27" fillId="23" borderId="24" xfId="85" applyNumberFormat="1" applyFont="1" applyFill="1" applyBorder="1" applyAlignment="1">
      <alignment vertical="center"/>
    </xf>
    <xf numFmtId="0" fontId="0" fillId="0" borderId="78" xfId="0" applyBorder="1"/>
    <xf numFmtId="0" fontId="45" fillId="23" borderId="12" xfId="0" applyFont="1" applyFill="1" applyBorder="1" applyAlignment="1" applyProtection="1">
      <alignment vertical="center"/>
      <protection hidden="1"/>
    </xf>
    <xf numFmtId="0" fontId="26" fillId="23" borderId="80" xfId="0" applyFont="1" applyFill="1" applyBorder="1" applyAlignment="1">
      <alignment vertical="center"/>
    </xf>
    <xf numFmtId="166" fontId="27" fillId="23" borderId="0" xfId="0" applyNumberFormat="1" applyFont="1" applyFill="1" applyAlignment="1">
      <alignment horizontal="right" vertical="center"/>
    </xf>
    <xf numFmtId="11" fontId="27" fillId="23" borderId="0" xfId="0" applyNumberFormat="1" applyFont="1" applyFill="1" applyAlignment="1">
      <alignment horizontal="right" vertical="center"/>
    </xf>
    <xf numFmtId="167" fontId="32" fillId="24" borderId="45" xfId="83" applyNumberFormat="1" applyFont="1" applyBorder="1" applyAlignment="1" applyProtection="1">
      <alignment horizontal="center" vertical="center" wrapText="1"/>
    </xf>
    <xf numFmtId="167" fontId="32" fillId="24" borderId="50" xfId="83" applyNumberFormat="1" applyFont="1" applyBorder="1" applyAlignment="1" applyProtection="1">
      <alignment horizontal="center" vertical="center" wrapText="1"/>
    </xf>
    <xf numFmtId="0" fontId="61" fillId="0" borderId="17" xfId="0" applyFont="1" applyBorder="1" applyAlignment="1">
      <alignment vertical="center" wrapText="1"/>
    </xf>
    <xf numFmtId="0" fontId="30" fillId="24" borderId="31" xfId="82" applyFont="1" applyBorder="1" applyProtection="1"/>
    <xf numFmtId="0" fontId="30" fillId="24" borderId="74" xfId="82" applyFont="1" applyBorder="1" applyProtection="1"/>
    <xf numFmtId="169" fontId="33" fillId="24" borderId="45" xfId="83" applyNumberFormat="1" applyFont="1" applyBorder="1" applyAlignment="1" applyProtection="1">
      <alignment horizontal="center" vertical="center" wrapText="1"/>
    </xf>
    <xf numFmtId="169" fontId="33" fillId="24" borderId="46" xfId="83" applyNumberFormat="1" applyFont="1" applyBorder="1" applyAlignment="1" applyProtection="1">
      <alignment horizontal="center" vertical="center" wrapText="1"/>
    </xf>
    <xf numFmtId="169" fontId="33" fillId="24" borderId="50" xfId="83" applyNumberFormat="1" applyFont="1" applyBorder="1" applyAlignment="1" applyProtection="1">
      <alignment horizontal="center" vertical="center" wrapText="1"/>
    </xf>
    <xf numFmtId="11" fontId="22" fillId="0" borderId="21" xfId="81" applyNumberFormat="1" applyFill="1" applyBorder="1" applyAlignment="1" applyProtection="1">
      <alignment horizontal="right" vertical="center"/>
      <protection locked="0"/>
    </xf>
    <xf numFmtId="2" fontId="33" fillId="24" borderId="21" xfId="83" applyNumberFormat="1" applyFont="1" applyBorder="1" applyAlignment="1" applyProtection="1">
      <alignment horizontal="center" vertical="center" wrapText="1"/>
    </xf>
    <xf numFmtId="2" fontId="33" fillId="24" borderId="38" xfId="83" applyNumberFormat="1" applyFont="1" applyBorder="1" applyAlignment="1" applyProtection="1">
      <alignment horizontal="center" vertical="center" wrapText="1"/>
    </xf>
    <xf numFmtId="1" fontId="32" fillId="24" borderId="45" xfId="83" applyNumberFormat="1" applyFont="1" applyBorder="1" applyAlignment="1" applyProtection="1">
      <alignment horizontal="center" vertical="center" wrapText="1"/>
      <protection locked="0"/>
    </xf>
    <xf numFmtId="1" fontId="32" fillId="24" borderId="46" xfId="83" applyNumberFormat="1" applyFont="1" applyBorder="1" applyAlignment="1" applyProtection="1">
      <alignment horizontal="center" vertical="center" wrapText="1"/>
      <protection locked="0"/>
    </xf>
    <xf numFmtId="1" fontId="32" fillId="24" borderId="50" xfId="83" applyNumberFormat="1" applyFont="1" applyBorder="1" applyAlignment="1" applyProtection="1">
      <alignment horizontal="center" vertical="center" wrapText="1"/>
      <protection locked="0"/>
    </xf>
    <xf numFmtId="0" fontId="57" fillId="23" borderId="44" xfId="0" applyFont="1" applyFill="1" applyBorder="1" applyAlignment="1">
      <alignment horizontal="center" vertical="center"/>
    </xf>
    <xf numFmtId="0" fontId="57" fillId="23" borderId="47" xfId="0" applyFont="1" applyFill="1" applyBorder="1" applyAlignment="1">
      <alignment horizontal="center" vertical="center" wrapText="1"/>
    </xf>
    <xf numFmtId="0" fontId="56" fillId="23" borderId="17" xfId="0" applyFont="1" applyFill="1" applyBorder="1" applyAlignment="1">
      <alignment horizontal="left" vertical="center"/>
    </xf>
    <xf numFmtId="0" fontId="59" fillId="23" borderId="62" xfId="0" applyFont="1" applyFill="1" applyBorder="1" applyAlignment="1">
      <alignment vertical="center"/>
    </xf>
    <xf numFmtId="0" fontId="59" fillId="23" borderId="78" xfId="0" applyFont="1" applyFill="1" applyBorder="1" applyAlignment="1">
      <alignment vertical="center"/>
    </xf>
    <xf numFmtId="170" fontId="56" fillId="0" borderId="0" xfId="0" applyNumberFormat="1" applyFont="1"/>
    <xf numFmtId="0" fontId="62" fillId="0" borderId="0" xfId="0" applyFont="1" applyAlignment="1">
      <alignment horizontal="left" vertical="top" wrapText="1"/>
    </xf>
    <xf numFmtId="0" fontId="0" fillId="23" borderId="82" xfId="0" applyFill="1" applyBorder="1" applyAlignment="1">
      <alignment vertical="center" wrapText="1"/>
    </xf>
    <xf numFmtId="0" fontId="0" fillId="23" borderId="12" xfId="0" applyFill="1" applyBorder="1" applyAlignment="1">
      <alignment vertical="center" wrapText="1"/>
    </xf>
    <xf numFmtId="0" fontId="0" fillId="23" borderId="83" xfId="0" applyFill="1" applyBorder="1" applyAlignment="1">
      <alignment vertical="center" wrapText="1"/>
    </xf>
    <xf numFmtId="0" fontId="0" fillId="23" borderId="86" xfId="0" applyFill="1" applyBorder="1" applyAlignment="1">
      <alignment vertical="center" wrapText="1"/>
    </xf>
    <xf numFmtId="0" fontId="0" fillId="23" borderId="59" xfId="0" applyFill="1" applyBorder="1" applyAlignment="1">
      <alignment vertical="center" wrapText="1"/>
    </xf>
    <xf numFmtId="167" fontId="32" fillId="24" borderId="43" xfId="83" applyNumberFormat="1" applyFont="1" applyBorder="1" applyAlignment="1" applyProtection="1">
      <alignment horizontal="center" vertical="center" wrapText="1"/>
    </xf>
    <xf numFmtId="167" fontId="32" fillId="24" borderId="72" xfId="83" applyNumberFormat="1" applyFont="1" applyBorder="1" applyAlignment="1" applyProtection="1">
      <alignment horizontal="center" vertical="center" wrapText="1"/>
    </xf>
    <xf numFmtId="167" fontId="32" fillId="24" borderId="77" xfId="83" applyNumberFormat="1" applyFont="1" applyBorder="1" applyAlignment="1" applyProtection="1">
      <alignment horizontal="center" vertical="center" wrapText="1"/>
    </xf>
    <xf numFmtId="0" fontId="0" fillId="0" borderId="27" xfId="0" applyBorder="1"/>
    <xf numFmtId="0" fontId="0" fillId="23" borderId="55" xfId="0" applyFill="1" applyBorder="1" applyAlignment="1">
      <alignment vertical="center"/>
    </xf>
    <xf numFmtId="170" fontId="32" fillId="24" borderId="59" xfId="83" applyNumberFormat="1" applyFont="1" applyBorder="1" applyAlignment="1" applyProtection="1">
      <alignment horizontal="right" vertical="center" wrapText="1"/>
    </xf>
    <xf numFmtId="11" fontId="0" fillId="0" borderId="0" xfId="0" applyNumberFormat="1"/>
    <xf numFmtId="0" fontId="63" fillId="33" borderId="69" xfId="0" applyFont="1" applyFill="1" applyBorder="1" applyAlignment="1">
      <alignment vertical="top" wrapText="1"/>
    </xf>
    <xf numFmtId="0" fontId="56" fillId="0" borderId="0" xfId="0" applyFont="1" applyAlignment="1">
      <alignment horizontal="left"/>
    </xf>
    <xf numFmtId="0" fontId="63" fillId="33" borderId="69" xfId="0" applyFont="1" applyFill="1" applyBorder="1" applyAlignment="1">
      <alignment horizontal="left" vertical="top" wrapText="1"/>
    </xf>
    <xf numFmtId="0" fontId="58" fillId="33" borderId="76" xfId="0" applyFont="1" applyFill="1" applyBorder="1" applyAlignment="1">
      <alignment horizontal="left" vertical="top" wrapText="1"/>
    </xf>
    <xf numFmtId="0" fontId="63" fillId="33" borderId="48" xfId="0" applyFont="1" applyFill="1" applyBorder="1" applyAlignment="1">
      <alignment horizontal="left" vertical="top" wrapText="1"/>
    </xf>
    <xf numFmtId="0" fontId="63" fillId="33" borderId="55" xfId="0" applyFont="1" applyFill="1" applyBorder="1" applyAlignment="1">
      <alignment horizontal="left" vertical="top" wrapText="1"/>
    </xf>
    <xf numFmtId="0" fontId="58" fillId="33" borderId="56" xfId="0" applyFont="1" applyFill="1" applyBorder="1" applyAlignment="1">
      <alignment horizontal="left" vertical="top" wrapText="1"/>
    </xf>
    <xf numFmtId="0" fontId="58" fillId="33" borderId="61" xfId="0" applyFont="1" applyFill="1" applyBorder="1" applyAlignment="1">
      <alignment horizontal="left" vertical="top" wrapText="1"/>
    </xf>
    <xf numFmtId="0" fontId="63" fillId="33" borderId="56" xfId="0" applyFont="1" applyFill="1" applyBorder="1" applyAlignment="1">
      <alignment horizontal="left" vertical="top" wrapText="1"/>
    </xf>
    <xf numFmtId="0" fontId="58" fillId="33" borderId="82" xfId="0" applyFont="1" applyFill="1" applyBorder="1" applyAlignment="1">
      <alignment horizontal="left" vertical="top" wrapText="1"/>
    </xf>
    <xf numFmtId="0" fontId="58" fillId="33" borderId="57" xfId="0" applyFont="1" applyFill="1" applyBorder="1" applyAlignment="1">
      <alignment horizontal="left" vertical="top" wrapText="1"/>
    </xf>
    <xf numFmtId="0" fontId="58" fillId="33" borderId="27" xfId="0" applyFont="1" applyFill="1" applyBorder="1" applyAlignment="1">
      <alignment horizontal="left" vertical="top" wrapText="1"/>
    </xf>
    <xf numFmtId="0" fontId="58" fillId="33" borderId="62" xfId="0" applyFont="1" applyFill="1" applyBorder="1" applyAlignment="1">
      <alignment horizontal="left" vertical="top" wrapText="1"/>
    </xf>
    <xf numFmtId="0" fontId="56" fillId="33" borderId="83" xfId="0" applyFont="1" applyFill="1" applyBorder="1"/>
    <xf numFmtId="0" fontId="58" fillId="33" borderId="59" xfId="0" applyFont="1" applyFill="1" applyBorder="1" applyAlignment="1">
      <alignment vertical="top" wrapText="1"/>
    </xf>
    <xf numFmtId="0" fontId="58" fillId="33" borderId="29" xfId="0" applyFont="1" applyFill="1" applyBorder="1" applyAlignment="1">
      <alignment vertical="top" wrapText="1"/>
    </xf>
    <xf numFmtId="0" fontId="58" fillId="33" borderId="29" xfId="0" applyFont="1" applyFill="1" applyBorder="1" applyAlignment="1">
      <alignment horizontal="left" vertical="top" wrapText="1"/>
    </xf>
    <xf numFmtId="0" fontId="58" fillId="33" borderId="31" xfId="0" applyFont="1" applyFill="1" applyBorder="1" applyAlignment="1">
      <alignment vertical="top" wrapText="1"/>
    </xf>
    <xf numFmtId="0" fontId="58" fillId="33" borderId="31" xfId="0" applyFont="1" applyFill="1" applyBorder="1" applyAlignment="1">
      <alignment horizontal="left" vertical="top" wrapText="1"/>
    </xf>
    <xf numFmtId="0" fontId="63" fillId="33" borderId="58" xfId="0" applyFont="1" applyFill="1" applyBorder="1" applyAlignment="1">
      <alignment vertical="top" wrapText="1"/>
    </xf>
    <xf numFmtId="0" fontId="58" fillId="0" borderId="16" xfId="0" applyFont="1" applyBorder="1" applyAlignment="1">
      <alignment vertical="top" wrapText="1"/>
    </xf>
    <xf numFmtId="0" fontId="58" fillId="33" borderId="57" xfId="0" applyFont="1" applyFill="1" applyBorder="1" applyAlignment="1">
      <alignment vertical="top" wrapText="1"/>
    </xf>
    <xf numFmtId="0" fontId="58" fillId="33" borderId="38" xfId="0" applyFont="1" applyFill="1" applyBorder="1" applyAlignment="1">
      <alignment horizontal="left" vertical="top" wrapText="1"/>
    </xf>
    <xf numFmtId="0" fontId="58" fillId="33" borderId="21" xfId="0" applyFont="1" applyFill="1" applyBorder="1" applyAlignment="1">
      <alignment vertical="top" wrapText="1"/>
    </xf>
    <xf numFmtId="0" fontId="58" fillId="33" borderId="21" xfId="0" applyFont="1" applyFill="1" applyBorder="1" applyAlignment="1">
      <alignment horizontal="left" vertical="top" wrapText="1"/>
    </xf>
    <xf numFmtId="0" fontId="58" fillId="33" borderId="39" xfId="0" applyFont="1" applyFill="1" applyBorder="1" applyAlignment="1">
      <alignment horizontal="left" vertical="top" wrapText="1"/>
    </xf>
    <xf numFmtId="0" fontId="58" fillId="33" borderId="45" xfId="0" applyFont="1" applyFill="1" applyBorder="1" applyAlignment="1">
      <alignment horizontal="left" vertical="top" wrapText="1"/>
    </xf>
    <xf numFmtId="0" fontId="58" fillId="33" borderId="46" xfId="0" applyFont="1" applyFill="1" applyBorder="1" applyAlignment="1">
      <alignment vertical="top" wrapText="1"/>
    </xf>
    <xf numFmtId="0" fontId="58" fillId="33" borderId="46" xfId="0" applyFont="1" applyFill="1" applyBorder="1" applyAlignment="1">
      <alignment horizontal="left" vertical="top" wrapText="1"/>
    </xf>
    <xf numFmtId="0" fontId="58" fillId="33" borderId="50" xfId="0" applyFont="1" applyFill="1" applyBorder="1" applyAlignment="1">
      <alignment horizontal="left" vertical="top" wrapText="1"/>
    </xf>
    <xf numFmtId="0" fontId="56" fillId="0" borderId="53" xfId="0" applyFont="1" applyBorder="1"/>
    <xf numFmtId="0" fontId="63" fillId="31" borderId="48" xfId="0" applyFont="1" applyFill="1" applyBorder="1" applyAlignment="1">
      <alignment vertical="top" wrapText="1"/>
    </xf>
    <xf numFmtId="0" fontId="63" fillId="31" borderId="56" xfId="0" applyFont="1" applyFill="1" applyBorder="1" applyAlignment="1">
      <alignment vertical="top" wrapText="1"/>
    </xf>
    <xf numFmtId="0" fontId="63" fillId="31" borderId="55" xfId="0" applyFont="1" applyFill="1" applyBorder="1" applyAlignment="1">
      <alignment vertical="top" wrapText="1"/>
    </xf>
    <xf numFmtId="165" fontId="58" fillId="31" borderId="89" xfId="0" applyNumberFormat="1" applyFont="1" applyFill="1" applyBorder="1" applyAlignment="1">
      <alignment horizontal="right" vertical="top" wrapText="1"/>
    </xf>
    <xf numFmtId="165" fontId="58" fillId="31" borderId="95" xfId="0" applyNumberFormat="1" applyFont="1" applyFill="1" applyBorder="1" applyAlignment="1">
      <alignment horizontal="right" vertical="top" wrapText="1"/>
    </xf>
    <xf numFmtId="165" fontId="58" fillId="31" borderId="98" xfId="0" applyNumberFormat="1" applyFont="1" applyFill="1" applyBorder="1" applyAlignment="1">
      <alignment horizontal="right" vertical="top" wrapText="1"/>
    </xf>
    <xf numFmtId="0" fontId="63" fillId="28" borderId="55" xfId="0" applyFont="1" applyFill="1" applyBorder="1" applyAlignment="1">
      <alignment horizontal="left" vertical="top" wrapText="1"/>
    </xf>
    <xf numFmtId="165" fontId="63" fillId="28" borderId="53" xfId="0" applyNumberFormat="1" applyFont="1" applyFill="1" applyBorder="1" applyAlignment="1">
      <alignment horizontal="right" vertical="top" wrapText="1"/>
    </xf>
    <xf numFmtId="0" fontId="63" fillId="28" borderId="53" xfId="0" applyFont="1" applyFill="1" applyBorder="1" applyAlignment="1">
      <alignment horizontal="right" vertical="top" wrapText="1"/>
    </xf>
    <xf numFmtId="0" fontId="63" fillId="28" borderId="78" xfId="0" applyFont="1" applyFill="1" applyBorder="1" applyAlignment="1">
      <alignment horizontal="right" vertical="top" wrapText="1"/>
    </xf>
    <xf numFmtId="0" fontId="63" fillId="28" borderId="58" xfId="0" applyFont="1" applyFill="1" applyBorder="1" applyAlignment="1">
      <alignment horizontal="left" vertical="top" wrapText="1"/>
    </xf>
    <xf numFmtId="0" fontId="63" fillId="28" borderId="58" xfId="0" applyFont="1" applyFill="1" applyBorder="1" applyAlignment="1">
      <alignment vertical="top" wrapText="1"/>
    </xf>
    <xf numFmtId="0" fontId="63" fillId="28" borderId="53" xfId="0" applyFont="1" applyFill="1" applyBorder="1" applyAlignment="1">
      <alignment vertical="top" wrapText="1"/>
    </xf>
    <xf numFmtId="0" fontId="58" fillId="28" borderId="57" xfId="0" applyFont="1" applyFill="1" applyBorder="1" applyAlignment="1">
      <alignment vertical="top" wrapText="1"/>
    </xf>
    <xf numFmtId="165" fontId="58" fillId="28" borderId="27" xfId="0" applyNumberFormat="1" applyFont="1" applyFill="1" applyBorder="1" applyAlignment="1">
      <alignment horizontal="right" vertical="top" wrapText="1"/>
    </xf>
    <xf numFmtId="10" fontId="58" fillId="28" borderId="27" xfId="0" applyNumberFormat="1" applyFont="1" applyFill="1" applyBorder="1" applyAlignment="1">
      <alignment horizontal="right" vertical="top" wrapText="1"/>
    </xf>
    <xf numFmtId="1" fontId="58" fillId="28" borderId="62" xfId="0" applyNumberFormat="1" applyFont="1" applyFill="1" applyBorder="1" applyAlignment="1">
      <alignment horizontal="right" vertical="top" wrapText="1"/>
    </xf>
    <xf numFmtId="0" fontId="58" fillId="28" borderId="27" xfId="0" applyFont="1" applyFill="1" applyBorder="1" applyAlignment="1">
      <alignment vertical="top" wrapText="1"/>
    </xf>
    <xf numFmtId="0" fontId="58" fillId="28" borderId="59" xfId="0" applyFont="1" applyFill="1" applyBorder="1" applyAlignment="1">
      <alignment vertical="top" wrapText="1"/>
    </xf>
    <xf numFmtId="165" fontId="58" fillId="28" borderId="60" xfId="0" applyNumberFormat="1" applyFont="1" applyFill="1" applyBorder="1" applyAlignment="1">
      <alignment horizontal="right" vertical="top" wrapText="1"/>
    </xf>
    <xf numFmtId="10" fontId="58" fillId="28" borderId="60" xfId="0" applyNumberFormat="1" applyFont="1" applyFill="1" applyBorder="1" applyAlignment="1">
      <alignment horizontal="right" vertical="top" wrapText="1"/>
    </xf>
    <xf numFmtId="1" fontId="58" fillId="28" borderId="65" xfId="0" applyNumberFormat="1" applyFont="1" applyFill="1" applyBorder="1" applyAlignment="1">
      <alignment horizontal="right" vertical="top" wrapText="1"/>
    </xf>
    <xf numFmtId="0" fontId="58" fillId="30" borderId="56" xfId="0" applyFont="1" applyFill="1" applyBorder="1" applyAlignment="1">
      <alignment horizontal="left" vertical="top" wrapText="1"/>
    </xf>
    <xf numFmtId="0" fontId="63" fillId="30" borderId="55" xfId="0" applyFont="1" applyFill="1" applyBorder="1" applyAlignment="1">
      <alignment vertical="top" wrapText="1"/>
    </xf>
    <xf numFmtId="0" fontId="63" fillId="30" borderId="56" xfId="0" applyFont="1" applyFill="1" applyBorder="1" applyAlignment="1">
      <alignment vertical="top" wrapText="1"/>
    </xf>
    <xf numFmtId="165" fontId="58" fillId="30" borderId="89" xfId="0" applyNumberFormat="1" applyFont="1" applyFill="1" applyBorder="1" applyAlignment="1">
      <alignment horizontal="right" vertical="top" wrapText="1"/>
    </xf>
    <xf numFmtId="172" fontId="58" fillId="30" borderId="90" xfId="85" applyNumberFormat="1" applyFont="1" applyFill="1" applyBorder="1" applyAlignment="1">
      <alignment horizontal="right" vertical="top" wrapText="1"/>
    </xf>
    <xf numFmtId="165" fontId="58" fillId="30" borderId="92" xfId="0" applyNumberFormat="1" applyFont="1" applyFill="1" applyBorder="1" applyAlignment="1">
      <alignment horizontal="right" vertical="top" wrapText="1"/>
    </xf>
    <xf numFmtId="172" fontId="58" fillId="30" borderId="93" xfId="85" applyNumberFormat="1" applyFont="1" applyFill="1" applyBorder="1" applyAlignment="1">
      <alignment horizontal="right" vertical="top" wrapText="1"/>
    </xf>
    <xf numFmtId="165" fontId="58" fillId="30" borderId="95" xfId="0" applyNumberFormat="1" applyFont="1" applyFill="1" applyBorder="1" applyAlignment="1">
      <alignment horizontal="right" vertical="top" wrapText="1"/>
    </xf>
    <xf numFmtId="172" fontId="58" fillId="30" borderId="96" xfId="85" applyNumberFormat="1" applyFont="1" applyFill="1" applyBorder="1" applyAlignment="1">
      <alignment horizontal="right" vertical="top" wrapText="1"/>
    </xf>
    <xf numFmtId="165" fontId="58" fillId="30" borderId="101" xfId="0" applyNumberFormat="1" applyFont="1" applyFill="1" applyBorder="1" applyAlignment="1">
      <alignment horizontal="right" vertical="top" wrapText="1"/>
    </xf>
    <xf numFmtId="172" fontId="58" fillId="30" borderId="102" xfId="85" applyNumberFormat="1" applyFont="1" applyFill="1" applyBorder="1" applyAlignment="1">
      <alignment horizontal="right" vertical="top" wrapText="1"/>
    </xf>
    <xf numFmtId="0" fontId="63" fillId="29" borderId="55" xfId="0" applyFont="1" applyFill="1" applyBorder="1" applyAlignment="1">
      <alignment vertical="top" wrapText="1"/>
    </xf>
    <xf numFmtId="0" fontId="63" fillId="29" borderId="56" xfId="0" applyFont="1" applyFill="1" applyBorder="1" applyAlignment="1">
      <alignment vertical="top" wrapText="1"/>
    </xf>
    <xf numFmtId="165" fontId="58" fillId="29" borderId="89" xfId="0" applyNumberFormat="1" applyFont="1" applyFill="1" applyBorder="1" applyAlignment="1">
      <alignment horizontal="right" vertical="top" wrapText="1"/>
    </xf>
    <xf numFmtId="165" fontId="58" fillId="29" borderId="92" xfId="0" applyNumberFormat="1" applyFont="1" applyFill="1" applyBorder="1" applyAlignment="1">
      <alignment horizontal="right" vertical="top" wrapText="1"/>
    </xf>
    <xf numFmtId="165" fontId="58" fillId="29" borderId="95" xfId="0" applyNumberFormat="1" applyFont="1" applyFill="1" applyBorder="1" applyAlignment="1">
      <alignment horizontal="right" vertical="top" wrapText="1"/>
    </xf>
    <xf numFmtId="0" fontId="63" fillId="32" borderId="58" xfId="0" applyFont="1" applyFill="1" applyBorder="1" applyAlignment="1">
      <alignment horizontal="left" vertical="top" wrapText="1"/>
    </xf>
    <xf numFmtId="0" fontId="58" fillId="32" borderId="0" xfId="0" applyFont="1" applyFill="1" applyAlignment="1">
      <alignment horizontal="left" vertical="top" wrapText="1" indent="4"/>
    </xf>
    <xf numFmtId="165" fontId="58" fillId="32" borderId="0" xfId="0" applyNumberFormat="1" applyFont="1" applyFill="1" applyAlignment="1">
      <alignment horizontal="left" vertical="top" wrapText="1"/>
    </xf>
    <xf numFmtId="0" fontId="58" fillId="32" borderId="20" xfId="0" applyFont="1" applyFill="1" applyBorder="1" applyAlignment="1">
      <alignment horizontal="left" vertical="top" wrapText="1"/>
    </xf>
    <xf numFmtId="0" fontId="58" fillId="32" borderId="59" xfId="0" applyFont="1" applyFill="1" applyBorder="1" applyAlignment="1">
      <alignment horizontal="right" vertical="top" wrapText="1"/>
    </xf>
    <xf numFmtId="10" fontId="58" fillId="32" borderId="60" xfId="0" applyNumberFormat="1" applyFont="1" applyFill="1" applyBorder="1" applyAlignment="1">
      <alignment horizontal="left" vertical="top" wrapText="1"/>
    </xf>
    <xf numFmtId="0" fontId="58" fillId="32" borderId="60" xfId="0" applyFont="1" applyFill="1" applyBorder="1" applyAlignment="1">
      <alignment horizontal="right" vertical="top" wrapText="1"/>
    </xf>
    <xf numFmtId="10" fontId="58" fillId="32" borderId="65" xfId="0" applyNumberFormat="1" applyFont="1" applyFill="1" applyBorder="1" applyAlignment="1">
      <alignment horizontal="left" vertical="top" wrapText="1"/>
    </xf>
    <xf numFmtId="0" fontId="58" fillId="32" borderId="60" xfId="0" applyFont="1" applyFill="1" applyBorder="1" applyAlignment="1">
      <alignment vertical="top" wrapText="1"/>
    </xf>
    <xf numFmtId="0" fontId="56" fillId="0" borderId="16" xfId="0" applyFont="1" applyBorder="1"/>
    <xf numFmtId="0" fontId="41" fillId="0" borderId="15" xfId="0" applyFont="1" applyBorder="1"/>
    <xf numFmtId="0" fontId="40" fillId="0" borderId="17" xfId="0" applyFont="1" applyBorder="1"/>
    <xf numFmtId="0" fontId="41" fillId="0" borderId="18" xfId="0" applyFont="1" applyBorder="1"/>
    <xf numFmtId="0" fontId="41" fillId="0" borderId="20" xfId="0" applyFont="1" applyBorder="1"/>
    <xf numFmtId="0" fontId="40" fillId="0" borderId="18" xfId="0" applyFont="1" applyBorder="1"/>
    <xf numFmtId="0" fontId="40" fillId="0" borderId="23" xfId="0" applyFont="1" applyBorder="1"/>
    <xf numFmtId="0" fontId="40" fillId="0" borderId="25" xfId="0" applyFont="1" applyBorder="1"/>
    <xf numFmtId="0" fontId="40" fillId="0" borderId="0" xfId="0" applyFont="1" applyAlignment="1">
      <alignment wrapText="1"/>
    </xf>
    <xf numFmtId="0" fontId="40" fillId="0" borderId="16" xfId="0" applyFont="1" applyBorder="1"/>
    <xf numFmtId="0" fontId="40" fillId="0" borderId="20" xfId="0" applyFont="1" applyBorder="1" applyAlignment="1">
      <alignment wrapText="1"/>
    </xf>
    <xf numFmtId="0" fontId="41" fillId="0" borderId="18" xfId="0" applyFont="1" applyBorder="1" applyAlignment="1">
      <alignment horizontal="left" wrapText="1"/>
    </xf>
    <xf numFmtId="0" fontId="41" fillId="0" borderId="20" xfId="0" applyFont="1" applyBorder="1" applyAlignment="1">
      <alignment wrapText="1"/>
    </xf>
    <xf numFmtId="0" fontId="41" fillId="0" borderId="18" xfId="0" applyFont="1" applyBorder="1" applyAlignment="1">
      <alignment wrapText="1"/>
    </xf>
    <xf numFmtId="1" fontId="40" fillId="0" borderId="0" xfId="0" applyNumberFormat="1" applyFont="1"/>
    <xf numFmtId="2" fontId="40" fillId="0" borderId="0" xfId="0" applyNumberFormat="1" applyFont="1"/>
    <xf numFmtId="0" fontId="41" fillId="0" borderId="15" xfId="0" applyFont="1" applyBorder="1" applyAlignment="1">
      <alignment horizontal="left"/>
    </xf>
    <xf numFmtId="0" fontId="41" fillId="0" borderId="16" xfId="0" applyFont="1" applyBorder="1" applyAlignment="1">
      <alignment horizontal="left"/>
    </xf>
    <xf numFmtId="0" fontId="41" fillId="0" borderId="18" xfId="0" applyFont="1" applyBorder="1" applyAlignment="1">
      <alignment horizontal="left"/>
    </xf>
    <xf numFmtId="0" fontId="41" fillId="0" borderId="0" xfId="0" applyFont="1" applyAlignment="1">
      <alignment horizontal="left"/>
    </xf>
    <xf numFmtId="170" fontId="40" fillId="0" borderId="0" xfId="0" applyNumberFormat="1" applyFont="1"/>
    <xf numFmtId="0" fontId="40" fillId="0" borderId="18" xfId="63" applyFont="1" applyBorder="1"/>
    <xf numFmtId="0" fontId="40" fillId="0" borderId="23" xfId="63" applyFont="1" applyBorder="1"/>
    <xf numFmtId="0" fontId="41" fillId="0" borderId="0" xfId="63" applyFont="1"/>
    <xf numFmtId="168" fontId="40" fillId="0" borderId="24" xfId="0" applyNumberFormat="1" applyFont="1" applyBorder="1"/>
    <xf numFmtId="165" fontId="40" fillId="0" borderId="0" xfId="0" applyNumberFormat="1" applyFont="1"/>
    <xf numFmtId="165" fontId="40" fillId="0" borderId="24" xfId="0" applyNumberFormat="1" applyFont="1" applyBorder="1"/>
    <xf numFmtId="0" fontId="41" fillId="0" borderId="16" xfId="0" applyFont="1" applyBorder="1"/>
    <xf numFmtId="2" fontId="41" fillId="0" borderId="0" xfId="0" applyNumberFormat="1" applyFont="1"/>
    <xf numFmtId="2" fontId="41" fillId="0" borderId="20" xfId="0" applyNumberFormat="1" applyFont="1" applyBorder="1"/>
    <xf numFmtId="169" fontId="40" fillId="0" borderId="0" xfId="85" applyNumberFormat="1" applyFont="1" applyBorder="1"/>
    <xf numFmtId="169" fontId="40" fillId="0" borderId="20" xfId="85" applyNumberFormat="1" applyFont="1" applyBorder="1"/>
    <xf numFmtId="10" fontId="40" fillId="0" borderId="0" xfId="85" applyNumberFormat="1" applyFont="1" applyBorder="1"/>
    <xf numFmtId="10" fontId="40" fillId="0" borderId="20" xfId="85" applyNumberFormat="1" applyFont="1" applyBorder="1"/>
    <xf numFmtId="10" fontId="40" fillId="0" borderId="24" xfId="85" applyNumberFormat="1" applyFont="1" applyBorder="1"/>
    <xf numFmtId="10" fontId="40" fillId="0" borderId="25" xfId="85" applyNumberFormat="1" applyFont="1" applyBorder="1"/>
    <xf numFmtId="0" fontId="0" fillId="0" borderId="21" xfId="0" applyBorder="1" applyAlignment="1" applyProtection="1">
      <alignment horizontal="right" vertical="center"/>
      <protection locked="0"/>
    </xf>
    <xf numFmtId="0" fontId="0" fillId="0" borderId="21" xfId="0" applyBorder="1" applyAlignment="1" applyProtection="1">
      <alignment horizontal="right" vertical="center" wrapText="1"/>
      <protection locked="0"/>
    </xf>
    <xf numFmtId="173" fontId="33" fillId="24" borderId="46" xfId="83" applyNumberFormat="1" applyFont="1" applyBorder="1" applyAlignment="1" applyProtection="1">
      <alignment horizontal="center" vertical="center" wrapText="1"/>
    </xf>
    <xf numFmtId="0" fontId="40" fillId="0" borderId="0" xfId="0" quotePrefix="1" applyFont="1"/>
    <xf numFmtId="1" fontId="0" fillId="0" borderId="21" xfId="0" applyNumberFormat="1" applyBorder="1" applyAlignment="1" applyProtection="1">
      <alignment horizontal="right"/>
      <protection locked="0"/>
    </xf>
    <xf numFmtId="0" fontId="0" fillId="0" borderId="21" xfId="0" applyBorder="1" applyAlignment="1" applyProtection="1">
      <alignment horizontal="right"/>
      <protection locked="0"/>
    </xf>
    <xf numFmtId="0" fontId="30" fillId="28" borderId="57" xfId="82" applyFont="1" applyFill="1" applyBorder="1" applyAlignment="1" applyProtection="1">
      <alignment horizontal="right" vertical="center" wrapText="1"/>
    </xf>
    <xf numFmtId="0" fontId="0" fillId="28" borderId="0" xfId="0" applyFill="1"/>
    <xf numFmtId="174" fontId="32" fillId="24" borderId="38" xfId="83" applyNumberFormat="1" applyFont="1" applyBorder="1" applyAlignment="1" applyProtection="1">
      <alignment horizontal="center" vertical="center" wrapText="1"/>
    </xf>
    <xf numFmtId="174" fontId="32" fillId="24" borderId="21" xfId="83" applyNumberFormat="1" applyFont="1" applyBorder="1" applyAlignment="1" applyProtection="1">
      <alignment horizontal="center" vertical="center" wrapText="1"/>
    </xf>
    <xf numFmtId="174" fontId="32" fillId="24" borderId="39" xfId="83" applyNumberFormat="1" applyFont="1" applyBorder="1" applyAlignment="1" applyProtection="1">
      <alignment horizontal="center" vertical="center" wrapText="1"/>
    </xf>
    <xf numFmtId="0" fontId="56" fillId="23" borderId="27" xfId="0" applyFont="1" applyFill="1" applyBorder="1" applyAlignment="1">
      <alignment horizontal="right" vertical="center" wrapText="1"/>
    </xf>
    <xf numFmtId="0" fontId="56" fillId="23" borderId="27" xfId="0" applyFont="1" applyFill="1" applyBorder="1" applyAlignment="1">
      <alignment vertical="center" wrapText="1"/>
    </xf>
    <xf numFmtId="9" fontId="0" fillId="0" borderId="22" xfId="0" applyNumberFormat="1" applyBorder="1" applyAlignment="1" applyProtection="1">
      <alignment horizontal="center" vertical="center"/>
      <protection locked="0"/>
    </xf>
    <xf numFmtId="0" fontId="0" fillId="23" borderId="27" xfId="0" applyFill="1" applyBorder="1" applyAlignment="1">
      <alignment horizontal="right" vertical="center"/>
    </xf>
    <xf numFmtId="0" fontId="52" fillId="23" borderId="0" xfId="0" applyFont="1" applyFill="1"/>
    <xf numFmtId="0" fontId="67" fillId="23" borderId="20" xfId="0" applyFont="1" applyFill="1" applyBorder="1" applyAlignment="1">
      <alignment vertical="center"/>
    </xf>
    <xf numFmtId="0" fontId="68" fillId="23" borderId="0" xfId="0" applyFont="1" applyFill="1" applyAlignment="1">
      <alignment horizontal="right" vertical="center"/>
    </xf>
    <xf numFmtId="0" fontId="69" fillId="0" borderId="0" xfId="0" applyFont="1"/>
    <xf numFmtId="10" fontId="70" fillId="0" borderId="21" xfId="81" applyNumberFormat="1" applyFont="1" applyFill="1" applyBorder="1" applyAlignment="1" applyProtection="1">
      <alignment horizontal="right" vertical="center"/>
      <protection locked="0"/>
    </xf>
    <xf numFmtId="0" fontId="71" fillId="0" borderId="0" xfId="0" applyFont="1"/>
    <xf numFmtId="2" fontId="22" fillId="0" borderId="21" xfId="81" applyNumberFormat="1" applyFill="1" applyBorder="1" applyAlignment="1" applyProtection="1">
      <alignment horizontal="right" vertical="center"/>
      <protection locked="0"/>
    </xf>
    <xf numFmtId="0" fontId="0" fillId="23" borderId="60" xfId="0" applyFill="1" applyBorder="1"/>
    <xf numFmtId="0" fontId="0" fillId="23" borderId="27" xfId="0" applyFill="1" applyBorder="1"/>
    <xf numFmtId="0" fontId="55" fillId="23" borderId="24" xfId="0" applyFont="1" applyFill="1" applyBorder="1" applyAlignment="1">
      <alignment horizontal="right"/>
    </xf>
    <xf numFmtId="0" fontId="18" fillId="23" borderId="22" xfId="0" applyFont="1" applyFill="1" applyBorder="1" applyAlignment="1">
      <alignment horizontal="left" vertical="center"/>
    </xf>
    <xf numFmtId="0" fontId="0" fillId="23" borderId="56" xfId="0" applyFill="1" applyBorder="1"/>
    <xf numFmtId="2" fontId="33" fillId="24" borderId="45" xfId="83" applyNumberFormat="1" applyFont="1" applyBorder="1" applyAlignment="1" applyProtection="1">
      <alignment horizontal="center" vertical="center" wrapText="1"/>
    </xf>
    <xf numFmtId="2" fontId="33" fillId="24" borderId="46" xfId="83" applyNumberFormat="1" applyFont="1" applyBorder="1" applyAlignment="1" applyProtection="1">
      <alignment horizontal="center" vertical="center" wrapText="1"/>
    </xf>
    <xf numFmtId="2" fontId="39" fillId="0" borderId="0" xfId="0" applyNumberFormat="1" applyFont="1" applyAlignment="1">
      <alignment horizontal="right"/>
    </xf>
    <xf numFmtId="166" fontId="56" fillId="0" borderId="0" xfId="0" applyNumberFormat="1" applyFont="1"/>
    <xf numFmtId="166" fontId="45" fillId="23" borderId="15" xfId="0" applyNumberFormat="1" applyFont="1" applyFill="1" applyBorder="1" applyAlignment="1" applyProtection="1">
      <alignment vertical="center"/>
      <protection hidden="1"/>
    </xf>
    <xf numFmtId="166" fontId="56" fillId="23" borderId="18" xfId="0" applyNumberFormat="1" applyFont="1" applyFill="1" applyBorder="1" applyAlignment="1">
      <alignment vertical="center"/>
    </xf>
    <xf numFmtId="166" fontId="45" fillId="23" borderId="18" xfId="0" applyNumberFormat="1" applyFont="1" applyFill="1" applyBorder="1" applyAlignment="1" applyProtection="1">
      <alignment vertical="center"/>
      <protection hidden="1"/>
    </xf>
    <xf numFmtId="166" fontId="45" fillId="23" borderId="23" xfId="0" applyNumberFormat="1" applyFont="1" applyFill="1" applyBorder="1" applyAlignment="1" applyProtection="1">
      <alignment vertical="center"/>
      <protection hidden="1"/>
    </xf>
    <xf numFmtId="166" fontId="56" fillId="23" borderId="28" xfId="0" applyNumberFormat="1" applyFont="1" applyFill="1" applyBorder="1" applyAlignment="1">
      <alignment horizontal="center" vertical="center"/>
    </xf>
    <xf numFmtId="166" fontId="56" fillId="23" borderId="51" xfId="0" applyNumberFormat="1" applyFont="1" applyFill="1" applyBorder="1" applyAlignment="1">
      <alignment horizontal="center" vertical="center"/>
    </xf>
    <xf numFmtId="166" fontId="59" fillId="23" borderId="38" xfId="0" applyNumberFormat="1" applyFont="1" applyFill="1" applyBorder="1" applyAlignment="1">
      <alignment horizontal="center" vertical="center" wrapText="1"/>
    </xf>
    <xf numFmtId="166" fontId="59" fillId="23" borderId="45" xfId="0" applyNumberFormat="1" applyFont="1" applyFill="1" applyBorder="1" applyAlignment="1">
      <alignment horizontal="center" vertical="center"/>
    </xf>
    <xf numFmtId="166" fontId="56" fillId="23" borderId="16" xfId="0" applyNumberFormat="1" applyFont="1" applyFill="1" applyBorder="1" applyAlignment="1">
      <alignment horizontal="left" vertical="center"/>
    </xf>
    <xf numFmtId="166" fontId="56" fillId="23" borderId="49" xfId="0" applyNumberFormat="1" applyFont="1" applyFill="1" applyBorder="1" applyAlignment="1">
      <alignment horizontal="center" vertical="center"/>
    </xf>
    <xf numFmtId="166" fontId="59" fillId="23" borderId="43" xfId="0" applyNumberFormat="1" applyFont="1" applyFill="1" applyBorder="1" applyAlignment="1">
      <alignment horizontal="center" vertical="center" wrapText="1"/>
    </xf>
    <xf numFmtId="166" fontId="29" fillId="26" borderId="81" xfId="82" applyNumberFormat="1" applyFill="1" applyBorder="1" applyAlignment="1" applyProtection="1">
      <alignment horizontal="center" vertical="center" wrapText="1"/>
    </xf>
    <xf numFmtId="166" fontId="61" fillId="0" borderId="15" xfId="0" applyNumberFormat="1" applyFont="1" applyBorder="1" applyAlignment="1">
      <alignment vertical="center" wrapText="1"/>
    </xf>
    <xf numFmtId="166" fontId="33" fillId="24" borderId="46" xfId="83" applyNumberFormat="1" applyFont="1" applyBorder="1" applyAlignment="1" applyProtection="1">
      <alignment horizontal="center" vertical="center" wrapText="1"/>
    </xf>
    <xf numFmtId="10" fontId="74" fillId="23" borderId="18" xfId="0" applyNumberFormat="1" applyFont="1" applyFill="1" applyBorder="1" applyAlignment="1">
      <alignment vertical="center"/>
    </xf>
    <xf numFmtId="0" fontId="0" fillId="0" borderId="21" xfId="0" applyBorder="1" applyAlignment="1" applyProtection="1">
      <alignment horizontal="left" vertical="center"/>
      <protection locked="0"/>
    </xf>
    <xf numFmtId="0" fontId="18" fillId="23" borderId="0" xfId="0" applyFont="1" applyFill="1" applyAlignment="1">
      <alignment horizontal="right"/>
    </xf>
    <xf numFmtId="0" fontId="23" fillId="0" borderId="21" xfId="81" applyFont="1" applyFill="1" applyBorder="1" applyAlignment="1" applyProtection="1">
      <alignment horizontal="right" vertical="center" shrinkToFit="1"/>
      <protection locked="0"/>
    </xf>
    <xf numFmtId="0" fontId="0" fillId="0" borderId="105" xfId="0" applyBorder="1"/>
    <xf numFmtId="0" fontId="0" fillId="0" borderId="106" xfId="0" applyBorder="1"/>
    <xf numFmtId="1" fontId="68" fillId="23" borderId="0" xfId="0" applyNumberFormat="1" applyFont="1" applyFill="1" applyAlignment="1">
      <alignment horizontal="right" vertical="center"/>
    </xf>
    <xf numFmtId="0" fontId="0" fillId="23" borderId="0" xfId="0" applyFill="1" applyAlignment="1">
      <alignment horizontal="right"/>
    </xf>
    <xf numFmtId="10" fontId="58" fillId="29" borderId="93" xfId="0" applyNumberFormat="1" applyFont="1" applyFill="1" applyBorder="1" applyAlignment="1">
      <alignment horizontal="right" vertical="top" wrapText="1"/>
    </xf>
    <xf numFmtId="10" fontId="58" fillId="29" borderId="96" xfId="0" applyNumberFormat="1" applyFont="1" applyFill="1" applyBorder="1" applyAlignment="1">
      <alignment horizontal="right" vertical="top" wrapText="1"/>
    </xf>
    <xf numFmtId="10" fontId="58" fillId="29" borderId="90" xfId="0" applyNumberFormat="1" applyFont="1" applyFill="1" applyBorder="1" applyAlignment="1">
      <alignment horizontal="right" vertical="top" wrapText="1"/>
    </xf>
    <xf numFmtId="10" fontId="58" fillId="31" borderId="90" xfId="0" applyNumberFormat="1" applyFont="1" applyFill="1" applyBorder="1" applyAlignment="1">
      <alignment horizontal="right" vertical="top" wrapText="1"/>
    </xf>
    <xf numFmtId="10" fontId="58" fillId="31" borderId="99" xfId="0" applyNumberFormat="1" applyFont="1" applyFill="1" applyBorder="1" applyAlignment="1">
      <alignment horizontal="right" vertical="top" wrapText="1"/>
    </xf>
    <xf numFmtId="0" fontId="58" fillId="33" borderId="104" xfId="0" applyFont="1" applyFill="1" applyBorder="1" applyAlignment="1">
      <alignment horizontal="left" vertical="top" wrapText="1"/>
    </xf>
    <xf numFmtId="0" fontId="63" fillId="31" borderId="55" xfId="0" applyFont="1" applyFill="1" applyBorder="1" applyAlignment="1">
      <alignment horizontal="left" vertical="top" wrapText="1"/>
    </xf>
    <xf numFmtId="0" fontId="63" fillId="30" borderId="55" xfId="0" applyFont="1" applyFill="1" applyBorder="1" applyAlignment="1">
      <alignment horizontal="left" vertical="top" wrapText="1"/>
    </xf>
    <xf numFmtId="0" fontId="63" fillId="31" borderId="56" xfId="0" applyFont="1" applyFill="1" applyBorder="1" applyAlignment="1">
      <alignment horizontal="right" vertical="top" wrapText="1"/>
    </xf>
    <xf numFmtId="0" fontId="63" fillId="31" borderId="61" xfId="0" applyFont="1" applyFill="1" applyBorder="1" applyAlignment="1">
      <alignment horizontal="right" vertical="top" wrapText="1"/>
    </xf>
    <xf numFmtId="0" fontId="63" fillId="30" borderId="56" xfId="0" applyFont="1" applyFill="1" applyBorder="1" applyAlignment="1">
      <alignment horizontal="right" vertical="top" wrapText="1"/>
    </xf>
    <xf numFmtId="0" fontId="63" fillId="30" borderId="61" xfId="0" applyFont="1" applyFill="1" applyBorder="1" applyAlignment="1">
      <alignment horizontal="right" vertical="top" wrapText="1"/>
    </xf>
    <xf numFmtId="0" fontId="63" fillId="29" borderId="56" xfId="0" applyFont="1" applyFill="1" applyBorder="1" applyAlignment="1">
      <alignment horizontal="right" vertical="top" wrapText="1"/>
    </xf>
    <xf numFmtId="0" fontId="63" fillId="29" borderId="61" xfId="0" applyFont="1" applyFill="1" applyBorder="1" applyAlignment="1">
      <alignment horizontal="right" vertical="top" wrapText="1"/>
    </xf>
    <xf numFmtId="10" fontId="58" fillId="31" borderId="96" xfId="0" applyNumberFormat="1" applyFont="1" applyFill="1" applyBorder="1" applyAlignment="1">
      <alignment horizontal="right" vertical="top" wrapText="1"/>
    </xf>
    <xf numFmtId="0" fontId="29" fillId="26" borderId="21" xfId="82" applyFill="1" applyBorder="1" applyAlignment="1" applyProtection="1">
      <alignment horizontal="center" vertical="center" wrapText="1"/>
    </xf>
    <xf numFmtId="0" fontId="29" fillId="26" borderId="26" xfId="82" applyFill="1" applyBorder="1" applyAlignment="1" applyProtection="1">
      <alignment horizontal="center" vertical="center" wrapText="1"/>
    </xf>
    <xf numFmtId="0" fontId="30" fillId="24" borderId="57" xfId="82" applyFont="1" applyBorder="1" applyAlignment="1" applyProtection="1">
      <alignment horizontal="left" vertical="center" wrapText="1"/>
    </xf>
    <xf numFmtId="0" fontId="0" fillId="0" borderId="0" xfId="0" applyAlignment="1">
      <alignment horizontal="center"/>
    </xf>
    <xf numFmtId="0" fontId="0" fillId="22" borderId="37" xfId="0" applyFill="1" applyBorder="1" applyAlignment="1">
      <alignment horizontal="center" vertical="center" wrapText="1"/>
    </xf>
    <xf numFmtId="0" fontId="24" fillId="23" borderId="50" xfId="0" applyFont="1" applyFill="1" applyBorder="1" applyAlignment="1">
      <alignment horizontal="center" vertical="center" wrapText="1"/>
    </xf>
    <xf numFmtId="0" fontId="27" fillId="23" borderId="0" xfId="0" applyFont="1" applyFill="1" applyAlignment="1">
      <alignment horizontal="left" vertical="center"/>
    </xf>
    <xf numFmtId="0" fontId="58" fillId="23" borderId="50" xfId="0" applyFont="1" applyFill="1" applyBorder="1" applyAlignment="1">
      <alignment horizontal="center" vertical="center" wrapText="1"/>
    </xf>
    <xf numFmtId="0" fontId="18" fillId="22" borderId="35" xfId="0" applyFont="1" applyFill="1" applyBorder="1" applyAlignment="1">
      <alignment horizontal="left" vertical="center"/>
    </xf>
    <xf numFmtId="0" fontId="0" fillId="0" borderId="0" xfId="0" applyAlignment="1">
      <alignment horizontal="left" indent="5"/>
    </xf>
    <xf numFmtId="0" fontId="27" fillId="23" borderId="56" xfId="0" applyFont="1" applyFill="1" applyBorder="1" applyAlignment="1">
      <alignment horizontal="left" vertical="center"/>
    </xf>
    <xf numFmtId="0" fontId="18" fillId="23" borderId="18" xfId="0" applyFont="1" applyFill="1" applyBorder="1" applyAlignment="1">
      <alignment horizontal="left" vertical="center"/>
    </xf>
    <xf numFmtId="0" fontId="29" fillId="26" borderId="39" xfId="82" applyFill="1" applyBorder="1" applyAlignment="1" applyProtection="1">
      <alignment horizontal="center" vertical="center" wrapText="1"/>
    </xf>
    <xf numFmtId="0" fontId="29" fillId="26" borderId="58" xfId="82" applyFill="1" applyBorder="1" applyAlignment="1" applyProtection="1">
      <alignment horizontal="center" vertical="center" wrapText="1"/>
    </xf>
    <xf numFmtId="0" fontId="29" fillId="26" borderId="78" xfId="82" applyFill="1" applyBorder="1" applyAlignment="1" applyProtection="1">
      <alignment horizontal="center" vertical="center" wrapText="1"/>
    </xf>
    <xf numFmtId="0" fontId="29" fillId="26" borderId="38" xfId="82" applyFill="1" applyBorder="1" applyAlignment="1" applyProtection="1">
      <alignment horizontal="center" vertical="center" wrapText="1"/>
    </xf>
    <xf numFmtId="0" fontId="30" fillId="24" borderId="82" xfId="82" applyFont="1" applyBorder="1" applyAlignment="1" applyProtection="1">
      <alignment horizontal="center" vertical="center" wrapText="1"/>
    </xf>
    <xf numFmtId="0" fontId="30" fillId="24" borderId="83" xfId="82" applyFont="1" applyBorder="1" applyAlignment="1" applyProtection="1">
      <alignment horizontal="center" vertical="center" wrapText="1"/>
    </xf>
    <xf numFmtId="0" fontId="27" fillId="23" borderId="60" xfId="0" applyFont="1" applyFill="1" applyBorder="1" applyAlignment="1">
      <alignment horizontal="right" vertical="center"/>
    </xf>
    <xf numFmtId="0" fontId="27" fillId="23" borderId="27" xfId="0" applyFont="1" applyFill="1" applyBorder="1" applyAlignment="1">
      <alignment horizontal="left" vertical="center" wrapText="1"/>
    </xf>
    <xf numFmtId="0" fontId="29" fillId="26" borderId="57" xfId="82" applyFill="1" applyBorder="1" applyAlignment="1" applyProtection="1">
      <alignment horizontal="center" vertical="center" wrapText="1"/>
    </xf>
    <xf numFmtId="167" fontId="32" fillId="24" borderId="57" xfId="83" applyNumberFormat="1" applyFont="1" applyBorder="1" applyAlignment="1" applyProtection="1">
      <alignment horizontal="center" vertical="center" wrapText="1"/>
    </xf>
    <xf numFmtId="0" fontId="29" fillId="26" borderId="55" xfId="82" applyFill="1" applyBorder="1" applyAlignment="1" applyProtection="1">
      <alignment horizontal="center" vertical="center" wrapText="1"/>
    </xf>
    <xf numFmtId="0" fontId="29" fillId="26" borderId="62" xfId="82" applyFill="1" applyBorder="1" applyAlignment="1" applyProtection="1">
      <alignment horizontal="center" vertical="center" wrapText="1"/>
    </xf>
    <xf numFmtId="170" fontId="32" fillId="24" borderId="57" xfId="83" applyNumberFormat="1" applyFont="1" applyBorder="1" applyAlignment="1" applyProtection="1">
      <alignment horizontal="center" vertical="center" wrapText="1"/>
    </xf>
    <xf numFmtId="0" fontId="0" fillId="23" borderId="57" xfId="0" applyFill="1" applyBorder="1" applyAlignment="1">
      <alignment vertical="center" wrapText="1"/>
    </xf>
    <xf numFmtId="170" fontId="32" fillId="24" borderId="58" xfId="83" applyNumberFormat="1" applyFont="1" applyBorder="1" applyAlignment="1" applyProtection="1">
      <alignment horizontal="center" vertical="center" wrapText="1"/>
    </xf>
    <xf numFmtId="170" fontId="32" fillId="24" borderId="38" xfId="83" applyNumberFormat="1" applyFont="1" applyBorder="1" applyAlignment="1" applyProtection="1">
      <alignment horizontal="center" vertical="center" wrapText="1"/>
    </xf>
    <xf numFmtId="170" fontId="32" fillId="24" borderId="39" xfId="83" applyNumberFormat="1" applyFont="1" applyBorder="1" applyAlignment="1" applyProtection="1">
      <alignment horizontal="center" vertical="center" wrapText="1"/>
    </xf>
    <xf numFmtId="167" fontId="32" fillId="24" borderId="38" xfId="83" applyNumberFormat="1" applyFont="1" applyBorder="1" applyAlignment="1" applyProtection="1">
      <alignment horizontal="center" vertical="center" wrapText="1"/>
    </xf>
    <xf numFmtId="167" fontId="32" fillId="24" borderId="21" xfId="83" applyNumberFormat="1" applyFont="1" applyBorder="1" applyAlignment="1" applyProtection="1">
      <alignment horizontal="center" vertical="center" wrapText="1"/>
    </xf>
    <xf numFmtId="170" fontId="32" fillId="24" borderId="45" xfId="83" applyNumberFormat="1" applyFont="1" applyBorder="1" applyAlignment="1" applyProtection="1">
      <alignment horizontal="center" vertical="center" wrapText="1"/>
    </xf>
    <xf numFmtId="167" fontId="32" fillId="24" borderId="39" xfId="83" applyNumberFormat="1" applyFont="1" applyBorder="1" applyAlignment="1" applyProtection="1">
      <alignment horizontal="center" vertical="center" wrapText="1"/>
    </xf>
    <xf numFmtId="0" fontId="29" fillId="26" borderId="27" xfId="82" applyFill="1" applyBorder="1" applyAlignment="1" applyProtection="1">
      <alignment horizontal="center" vertical="center" wrapText="1"/>
    </xf>
    <xf numFmtId="0" fontId="0" fillId="23" borderId="58" xfId="0" applyFill="1" applyBorder="1" applyAlignment="1">
      <alignment vertical="center" wrapText="1"/>
    </xf>
    <xf numFmtId="0" fontId="0" fillId="23" borderId="27" xfId="0" applyFill="1" applyBorder="1" applyAlignment="1">
      <alignment vertical="center"/>
    </xf>
    <xf numFmtId="0" fontId="27" fillId="23" borderId="0" xfId="0" applyFont="1" applyFill="1" applyAlignment="1">
      <alignment horizontal="right" vertical="center"/>
    </xf>
    <xf numFmtId="0" fontId="0" fillId="23" borderId="18" xfId="0" applyFill="1" applyBorder="1" applyAlignment="1">
      <alignment vertical="center" wrapText="1"/>
    </xf>
    <xf numFmtId="0" fontId="0" fillId="23" borderId="0" xfId="0" applyFill="1" applyAlignment="1">
      <alignment vertical="center"/>
    </xf>
    <xf numFmtId="0" fontId="23" fillId="0" borderId="21" xfId="81" applyFont="1" applyFill="1" applyBorder="1" applyAlignment="1" applyProtection="1">
      <alignment horizontal="left" vertical="center" shrinkToFit="1"/>
      <protection locked="0"/>
    </xf>
    <xf numFmtId="0" fontId="76" fillId="23" borderId="0" xfId="0" applyFont="1" applyFill="1"/>
    <xf numFmtId="0" fontId="0" fillId="23" borderId="56" xfId="0" applyFill="1" applyBorder="1" applyAlignment="1">
      <alignment horizontal="right" vertical="center"/>
    </xf>
    <xf numFmtId="0" fontId="66" fillId="23" borderId="61" xfId="0" applyFont="1" applyFill="1" applyBorder="1" applyAlignment="1">
      <alignment horizontal="left" vertical="center" shrinkToFit="1"/>
    </xf>
    <xf numFmtId="0" fontId="27" fillId="23" borderId="62" xfId="0" applyFont="1" applyFill="1" applyBorder="1" applyAlignment="1">
      <alignment horizontal="left" vertical="center"/>
    </xf>
    <xf numFmtId="0" fontId="27" fillId="23" borderId="62" xfId="0" applyFont="1" applyFill="1" applyBorder="1" applyAlignment="1">
      <alignment horizontal="left" vertical="center" wrapText="1"/>
    </xf>
    <xf numFmtId="0" fontId="56" fillId="23" borderId="60" xfId="0" applyFont="1" applyFill="1" applyBorder="1" applyAlignment="1">
      <alignment horizontal="left" vertical="center"/>
    </xf>
    <xf numFmtId="0" fontId="0" fillId="23" borderId="65" xfId="0" applyFill="1" applyBorder="1" applyAlignment="1">
      <alignment horizontal="left" vertical="center"/>
    </xf>
    <xf numFmtId="0" fontId="75" fillId="23" borderId="0" xfId="0" applyFont="1" applyFill="1" applyAlignment="1">
      <alignment horizontal="left" shrinkToFit="1"/>
    </xf>
    <xf numFmtId="0" fontId="22" fillId="0" borderId="45" xfId="81" applyFill="1" applyBorder="1" applyAlignment="1" applyProtection="1">
      <alignment horizontal="left" vertical="center" wrapText="1"/>
      <protection locked="0"/>
    </xf>
    <xf numFmtId="0" fontId="22" fillId="0" borderId="65" xfId="81" applyFill="1" applyBorder="1" applyAlignment="1" applyProtection="1">
      <alignment horizontal="left" vertical="center" wrapText="1"/>
      <protection locked="0"/>
    </xf>
    <xf numFmtId="10" fontId="77" fillId="23" borderId="15" xfId="0" applyNumberFormat="1" applyFont="1" applyFill="1" applyBorder="1" applyAlignment="1">
      <alignment vertical="center"/>
    </xf>
    <xf numFmtId="10" fontId="77" fillId="23" borderId="16" xfId="0" applyNumberFormat="1" applyFont="1" applyFill="1" applyBorder="1" applyAlignment="1">
      <alignment vertical="center"/>
    </xf>
    <xf numFmtId="10" fontId="77" fillId="23" borderId="17" xfId="0" applyNumberFormat="1" applyFont="1" applyFill="1" applyBorder="1" applyAlignment="1">
      <alignment vertical="center"/>
    </xf>
    <xf numFmtId="166" fontId="59" fillId="22" borderId="55" xfId="0" applyNumberFormat="1" applyFont="1" applyFill="1" applyBorder="1" applyAlignment="1">
      <alignment horizontal="right" vertical="center"/>
    </xf>
    <xf numFmtId="0" fontId="59" fillId="22" borderId="37" xfId="0" applyFont="1" applyFill="1" applyBorder="1" applyAlignment="1">
      <alignment horizontal="center" vertical="center" wrapText="1"/>
    </xf>
    <xf numFmtId="0" fontId="41" fillId="22" borderId="38" xfId="0" applyFont="1" applyFill="1" applyBorder="1" applyAlignment="1">
      <alignment horizontal="center" vertical="center" wrapText="1"/>
    </xf>
    <xf numFmtId="0" fontId="41" fillId="22" borderId="39" xfId="0" applyFont="1" applyFill="1" applyBorder="1" applyAlignment="1">
      <alignment horizontal="center" vertical="center" wrapText="1"/>
    </xf>
    <xf numFmtId="0" fontId="41" fillId="22" borderId="40" xfId="0" applyFont="1" applyFill="1" applyBorder="1" applyAlignment="1">
      <alignment horizontal="center" vertical="center" wrapText="1"/>
    </xf>
    <xf numFmtId="0" fontId="41" fillId="22" borderId="41" xfId="0" applyFont="1" applyFill="1" applyBorder="1" applyAlignment="1">
      <alignment horizontal="center" vertical="center" wrapText="1"/>
    </xf>
    <xf numFmtId="0" fontId="41" fillId="22" borderId="32" xfId="0" applyFont="1" applyFill="1" applyBorder="1" applyAlignment="1">
      <alignment horizontal="center" vertical="center" wrapText="1"/>
    </xf>
    <xf numFmtId="9" fontId="0" fillId="23" borderId="0" xfId="0" applyNumberFormat="1" applyFill="1"/>
    <xf numFmtId="0" fontId="58" fillId="33" borderId="74" xfId="0" applyFont="1" applyFill="1" applyBorder="1" applyAlignment="1">
      <alignment horizontal="left" vertical="top" wrapText="1"/>
    </xf>
    <xf numFmtId="0" fontId="56" fillId="0" borderId="16" xfId="0" applyFont="1" applyBorder="1" applyAlignment="1">
      <alignment wrapText="1"/>
    </xf>
    <xf numFmtId="0" fontId="40" fillId="0" borderId="13" xfId="0" applyFont="1" applyBorder="1"/>
    <xf numFmtId="0" fontId="41" fillId="0" borderId="17" xfId="0" applyFont="1" applyBorder="1"/>
    <xf numFmtId="0" fontId="40" fillId="0" borderId="14" xfId="0" applyFont="1" applyBorder="1"/>
    <xf numFmtId="0" fontId="41" fillId="0" borderId="12" xfId="0" applyFont="1" applyBorder="1"/>
    <xf numFmtId="2" fontId="59" fillId="23" borderId="45" xfId="0" applyNumberFormat="1" applyFont="1" applyFill="1" applyBorder="1" applyAlignment="1">
      <alignment horizontal="center" vertical="center" wrapText="1"/>
    </xf>
    <xf numFmtId="2" fontId="59" fillId="23" borderId="45" xfId="0" applyNumberFormat="1" applyFont="1" applyFill="1" applyBorder="1" applyAlignment="1">
      <alignment horizontal="center" vertical="center"/>
    </xf>
    <xf numFmtId="2" fontId="59" fillId="23" borderId="50" xfId="0" applyNumberFormat="1" applyFont="1" applyFill="1" applyBorder="1" applyAlignment="1">
      <alignment horizontal="center" vertical="center"/>
    </xf>
    <xf numFmtId="0" fontId="40" fillId="0" borderId="12" xfId="0" applyFont="1" applyBorder="1"/>
    <xf numFmtId="0" fontId="29" fillId="26" borderId="43" xfId="82" applyFill="1" applyBorder="1" applyAlignment="1" applyProtection="1">
      <alignment horizontal="center" vertical="center" wrapText="1"/>
    </xf>
    <xf numFmtId="0" fontId="29" fillId="26" borderId="72" xfId="82" applyFill="1" applyBorder="1" applyAlignment="1" applyProtection="1">
      <alignment horizontal="center" vertical="center" wrapText="1"/>
    </xf>
    <xf numFmtId="0" fontId="29" fillId="26" borderId="77" xfId="82" applyFill="1" applyBorder="1" applyAlignment="1" applyProtection="1">
      <alignment horizontal="center" vertical="center" wrapText="1"/>
    </xf>
    <xf numFmtId="0" fontId="29" fillId="26" borderId="35" xfId="82" applyFill="1" applyBorder="1" applyAlignment="1" applyProtection="1">
      <alignment horizontal="center" vertical="center" wrapText="1"/>
    </xf>
    <xf numFmtId="0" fontId="29" fillId="26" borderId="36" xfId="82" applyFill="1" applyBorder="1" applyAlignment="1" applyProtection="1">
      <alignment horizontal="center" vertical="center" wrapText="1"/>
    </xf>
    <xf numFmtId="0" fontId="29" fillId="26" borderId="37" xfId="82" applyFill="1" applyBorder="1" applyAlignment="1" applyProtection="1">
      <alignment horizontal="center" vertical="center" wrapText="1"/>
    </xf>
    <xf numFmtId="0" fontId="29" fillId="26" borderId="48" xfId="82" applyFill="1" applyBorder="1" applyAlignment="1" applyProtection="1">
      <alignment horizontal="left" vertical="center" wrapText="1"/>
    </xf>
    <xf numFmtId="0" fontId="30" fillId="24" borderId="83" xfId="82" applyFont="1" applyBorder="1" applyAlignment="1" applyProtection="1">
      <alignment horizontal="left" vertical="center" wrapText="1"/>
    </xf>
    <xf numFmtId="173" fontId="33" fillId="24" borderId="50" xfId="83" applyNumberFormat="1" applyFont="1" applyBorder="1" applyAlignment="1" applyProtection="1">
      <alignment horizontal="center" vertical="center" wrapText="1"/>
    </xf>
    <xf numFmtId="165" fontId="58" fillId="29" borderId="108" xfId="0" applyNumberFormat="1" applyFont="1" applyFill="1" applyBorder="1" applyAlignment="1">
      <alignment horizontal="right" vertical="top" wrapText="1"/>
    </xf>
    <xf numFmtId="10" fontId="58" fillId="29" borderId="109" xfId="0" applyNumberFormat="1" applyFont="1" applyFill="1" applyBorder="1" applyAlignment="1">
      <alignment horizontal="right" vertical="top" wrapText="1"/>
    </xf>
    <xf numFmtId="172" fontId="33" fillId="24" borderId="46" xfId="83" applyNumberFormat="1" applyFont="1" applyBorder="1" applyAlignment="1" applyProtection="1">
      <alignment horizontal="center" vertical="center" wrapText="1"/>
    </xf>
    <xf numFmtId="0" fontId="29" fillId="26" borderId="52" xfId="82" applyFill="1" applyBorder="1" applyAlignment="1" applyProtection="1">
      <alignment horizontal="left" vertical="center" wrapText="1"/>
    </xf>
    <xf numFmtId="0" fontId="30" fillId="24" borderId="57" xfId="82" applyFont="1" applyBorder="1" applyAlignment="1" applyProtection="1">
      <alignment horizontal="left" vertical="center" wrapText="1" indent="4"/>
    </xf>
    <xf numFmtId="172" fontId="33" fillId="24" borderId="39" xfId="83" applyNumberFormat="1" applyFont="1" applyBorder="1" applyAlignment="1" applyProtection="1">
      <alignment horizontal="center" vertical="center" wrapText="1"/>
    </xf>
    <xf numFmtId="173" fontId="33" fillId="24" borderId="28" xfId="83" applyNumberFormat="1" applyFont="1" applyBorder="1" applyAlignment="1" applyProtection="1">
      <alignment horizontal="center" vertical="center" wrapText="1"/>
    </xf>
    <xf numFmtId="0" fontId="29" fillId="26" borderId="86" xfId="82" applyFill="1" applyBorder="1" applyAlignment="1" applyProtection="1">
      <alignment horizontal="left" vertical="center" wrapText="1"/>
    </xf>
    <xf numFmtId="0" fontId="30" fillId="24" borderId="39" xfId="82" applyFont="1" applyBorder="1" applyAlignment="1" applyProtection="1">
      <alignment vertical="center"/>
    </xf>
    <xf numFmtId="169" fontId="58" fillId="31" borderId="90" xfId="0" applyNumberFormat="1" applyFont="1" applyFill="1" applyBorder="1" applyAlignment="1">
      <alignment horizontal="right" vertical="top" wrapText="1"/>
    </xf>
    <xf numFmtId="169" fontId="58" fillId="31" borderId="96" xfId="0" applyNumberFormat="1" applyFont="1" applyFill="1" applyBorder="1" applyAlignment="1">
      <alignment horizontal="right" vertical="top" wrapText="1"/>
    </xf>
    <xf numFmtId="169" fontId="58" fillId="31" borderId="99" xfId="0" applyNumberFormat="1" applyFont="1" applyFill="1" applyBorder="1" applyAlignment="1">
      <alignment horizontal="right" vertical="top" wrapText="1"/>
    </xf>
    <xf numFmtId="10" fontId="58" fillId="30" borderId="93" xfId="85" applyNumberFormat="1" applyFont="1" applyFill="1" applyBorder="1" applyAlignment="1">
      <alignment horizontal="right" vertical="top" wrapText="1"/>
    </xf>
    <xf numFmtId="169" fontId="58" fillId="30" borderId="90" xfId="85" applyNumberFormat="1" applyFont="1" applyFill="1" applyBorder="1" applyAlignment="1">
      <alignment horizontal="right" vertical="top" wrapText="1"/>
    </xf>
    <xf numFmtId="169" fontId="58" fillId="30" borderId="93" xfId="85" applyNumberFormat="1" applyFont="1" applyFill="1" applyBorder="1" applyAlignment="1">
      <alignment horizontal="right" vertical="top" wrapText="1"/>
    </xf>
    <xf numFmtId="169" fontId="58" fillId="30" borderId="102" xfId="85" applyNumberFormat="1" applyFont="1" applyFill="1" applyBorder="1" applyAlignment="1">
      <alignment horizontal="right" vertical="top" wrapText="1"/>
    </xf>
    <xf numFmtId="169" fontId="58" fillId="30" borderId="96" xfId="85" applyNumberFormat="1" applyFont="1" applyFill="1" applyBorder="1" applyAlignment="1">
      <alignment horizontal="right" vertical="top" wrapText="1"/>
    </xf>
    <xf numFmtId="175" fontId="32" fillId="24" borderId="21" xfId="83" applyNumberFormat="1" applyFont="1" applyBorder="1" applyAlignment="1" applyProtection="1">
      <alignment horizontal="center" vertical="center" wrapText="1"/>
    </xf>
    <xf numFmtId="175" fontId="32" fillId="24" borderId="38" xfId="83" applyNumberFormat="1" applyFont="1" applyBorder="1" applyAlignment="1" applyProtection="1">
      <alignment horizontal="center" vertical="center" wrapText="1"/>
    </xf>
    <xf numFmtId="0" fontId="40" fillId="0" borderId="21" xfId="0" applyFont="1" applyBorder="1" applyAlignment="1" applyProtection="1">
      <alignment horizontal="right"/>
      <protection locked="0"/>
    </xf>
    <xf numFmtId="0" fontId="0" fillId="23" borderId="0" xfId="0" applyFill="1" applyAlignment="1">
      <alignment horizontal="center"/>
    </xf>
    <xf numFmtId="0" fontId="0" fillId="23" borderId="20" xfId="0" applyFill="1" applyBorder="1" applyAlignment="1">
      <alignment horizontal="center"/>
    </xf>
    <xf numFmtId="0" fontId="21" fillId="23" borderId="0" xfId="0" applyFont="1" applyFill="1" applyAlignment="1">
      <alignment horizontal="left"/>
    </xf>
    <xf numFmtId="0" fontId="21" fillId="23" borderId="20" xfId="0" applyFont="1" applyFill="1" applyBorder="1" applyAlignment="1">
      <alignment horizontal="left"/>
    </xf>
    <xf numFmtId="0" fontId="55" fillId="23" borderId="33" xfId="0" applyFont="1" applyFill="1" applyBorder="1" applyAlignment="1">
      <alignment horizontal="left"/>
    </xf>
    <xf numFmtId="0" fontId="55" fillId="23" borderId="0" xfId="0" applyFont="1" applyFill="1" applyAlignment="1">
      <alignment horizontal="left"/>
    </xf>
    <xf numFmtId="0" fontId="55" fillId="23" borderId="20" xfId="0" applyFont="1" applyFill="1" applyBorder="1" applyAlignment="1">
      <alignment horizontal="left"/>
    </xf>
    <xf numFmtId="0" fontId="67" fillId="23" borderId="0" xfId="0" applyFont="1" applyFill="1" applyAlignment="1">
      <alignment horizontal="left" vertical="center" wrapText="1"/>
    </xf>
    <xf numFmtId="0" fontId="40" fillId="0" borderId="0" xfId="0" quotePrefix="1" applyFont="1" applyAlignment="1">
      <alignment horizontal="left" vertical="top" wrapText="1"/>
    </xf>
    <xf numFmtId="0" fontId="63" fillId="30" borderId="13" xfId="0" applyFont="1" applyFill="1" applyBorder="1" applyAlignment="1">
      <alignment horizontal="left" vertical="top" wrapText="1"/>
    </xf>
    <xf numFmtId="0" fontId="63" fillId="29" borderId="13" xfId="0" applyFont="1" applyFill="1" applyBorder="1" applyAlignment="1">
      <alignment horizontal="left" vertical="top" wrapText="1"/>
    </xf>
    <xf numFmtId="0" fontId="63" fillId="29" borderId="14" xfId="0" applyFont="1" applyFill="1" applyBorder="1" applyAlignment="1">
      <alignment horizontal="left" vertical="top" wrapText="1"/>
    </xf>
    <xf numFmtId="0" fontId="63" fillId="30" borderId="12" xfId="0" applyFont="1" applyFill="1" applyBorder="1" applyAlignment="1">
      <alignment horizontal="left" vertical="top" wrapText="1"/>
    </xf>
    <xf numFmtId="0" fontId="63" fillId="30" borderId="86" xfId="0" applyFont="1" applyFill="1" applyBorder="1" applyAlignment="1">
      <alignment horizontal="left" vertical="top" wrapText="1"/>
    </xf>
    <xf numFmtId="0" fontId="58" fillId="33" borderId="69" xfId="0" applyFont="1" applyFill="1" applyBorder="1" applyAlignment="1">
      <alignment horizontal="center" vertical="top" wrapText="1"/>
    </xf>
    <xf numFmtId="0" fontId="58" fillId="33" borderId="79" xfId="0" applyFont="1" applyFill="1" applyBorder="1" applyAlignment="1">
      <alignment horizontal="center" vertical="top" wrapText="1"/>
    </xf>
    <xf numFmtId="0" fontId="58" fillId="33" borderId="73" xfId="0" applyFont="1" applyFill="1" applyBorder="1" applyAlignment="1">
      <alignment horizontal="center" vertical="top" wrapText="1"/>
    </xf>
    <xf numFmtId="10" fontId="58" fillId="29" borderId="92" xfId="0" applyNumberFormat="1" applyFont="1" applyFill="1" applyBorder="1" applyAlignment="1">
      <alignment horizontal="right" vertical="top" wrapText="1"/>
    </xf>
    <xf numFmtId="10" fontId="58" fillId="29" borderId="93" xfId="0" applyNumberFormat="1" applyFont="1" applyFill="1" applyBorder="1" applyAlignment="1">
      <alignment horizontal="right" vertical="top" wrapText="1"/>
    </xf>
    <xf numFmtId="10" fontId="58" fillId="29" borderId="95" xfId="0" applyNumberFormat="1" applyFont="1" applyFill="1" applyBorder="1" applyAlignment="1">
      <alignment horizontal="right" vertical="top" wrapText="1"/>
    </xf>
    <xf numFmtId="10" fontId="58" fillId="29" borderId="96" xfId="0" applyNumberFormat="1" applyFont="1" applyFill="1" applyBorder="1" applyAlignment="1">
      <alignment horizontal="right" vertical="top" wrapText="1"/>
    </xf>
    <xf numFmtId="0" fontId="63" fillId="28" borderId="13" xfId="0" applyFont="1" applyFill="1" applyBorder="1" applyAlignment="1">
      <alignment horizontal="left" vertical="top" wrapText="1"/>
    </xf>
    <xf numFmtId="0" fontId="63" fillId="29" borderId="12" xfId="0" applyFont="1" applyFill="1" applyBorder="1" applyAlignment="1">
      <alignment horizontal="left" vertical="top" wrapText="1"/>
    </xf>
    <xf numFmtId="0" fontId="63" fillId="29" borderId="86" xfId="0" applyFont="1" applyFill="1" applyBorder="1" applyAlignment="1">
      <alignment horizontal="left" vertical="top" wrapText="1"/>
    </xf>
    <xf numFmtId="0" fontId="58" fillId="30" borderId="88" xfId="0" applyFont="1" applyFill="1" applyBorder="1" applyAlignment="1">
      <alignment vertical="top" wrapText="1"/>
    </xf>
    <xf numFmtId="0" fontId="58" fillId="30" borderId="89" xfId="0" applyFont="1" applyFill="1" applyBorder="1" applyAlignment="1">
      <alignment vertical="top" wrapText="1"/>
    </xf>
    <xf numFmtId="0" fontId="58" fillId="29" borderId="91" xfId="0" applyFont="1" applyFill="1" applyBorder="1" applyAlignment="1">
      <alignment vertical="top" wrapText="1"/>
    </xf>
    <xf numFmtId="0" fontId="58" fillId="29" borderId="92" xfId="0" applyFont="1" applyFill="1" applyBorder="1" applyAlignment="1">
      <alignment vertical="top" wrapText="1"/>
    </xf>
    <xf numFmtId="0" fontId="58" fillId="29" borderId="94" xfId="0" applyFont="1" applyFill="1" applyBorder="1" applyAlignment="1">
      <alignment vertical="top" wrapText="1"/>
    </xf>
    <xf numFmtId="0" fontId="58" fillId="29" borderId="95" xfId="0" applyFont="1" applyFill="1" applyBorder="1" applyAlignment="1">
      <alignment vertical="top" wrapText="1"/>
    </xf>
    <xf numFmtId="0" fontId="58" fillId="29" borderId="107" xfId="0" applyFont="1" applyFill="1" applyBorder="1" applyAlignment="1">
      <alignment vertical="top" wrapText="1"/>
    </xf>
    <xf numFmtId="0" fontId="58" fillId="29" borderId="108" xfId="0" applyFont="1" applyFill="1" applyBorder="1" applyAlignment="1">
      <alignment vertical="top" wrapText="1"/>
    </xf>
    <xf numFmtId="0" fontId="63" fillId="32" borderId="12" xfId="0" applyFont="1" applyFill="1" applyBorder="1" applyAlignment="1">
      <alignment horizontal="left" vertical="top" wrapText="1"/>
    </xf>
    <xf numFmtId="0" fontId="63" fillId="32" borderId="14" xfId="0" applyFont="1" applyFill="1" applyBorder="1" applyAlignment="1">
      <alignment horizontal="left" vertical="top" wrapText="1"/>
    </xf>
    <xf numFmtId="0" fontId="58" fillId="29" borderId="88" xfId="0" applyFont="1" applyFill="1" applyBorder="1" applyAlignment="1">
      <alignment vertical="top" wrapText="1"/>
    </xf>
    <xf numFmtId="0" fontId="58" fillId="29" borderId="89" xfId="0" applyFont="1" applyFill="1" applyBorder="1" applyAlignment="1">
      <alignment vertical="top" wrapText="1"/>
    </xf>
    <xf numFmtId="10" fontId="58" fillId="29" borderId="89" xfId="0" applyNumberFormat="1" applyFont="1" applyFill="1" applyBorder="1" applyAlignment="1">
      <alignment horizontal="right" vertical="top" wrapText="1"/>
    </xf>
    <xf numFmtId="10" fontId="58" fillId="29" borderId="90" xfId="0" applyNumberFormat="1" applyFont="1" applyFill="1" applyBorder="1" applyAlignment="1">
      <alignment horizontal="right" vertical="top" wrapText="1"/>
    </xf>
    <xf numFmtId="10" fontId="58" fillId="29" borderId="108" xfId="0" applyNumberFormat="1" applyFont="1" applyFill="1" applyBorder="1" applyAlignment="1">
      <alignment horizontal="right" vertical="top" wrapText="1"/>
    </xf>
    <xf numFmtId="10" fontId="58" fillId="29" borderId="109" xfId="0" applyNumberFormat="1" applyFont="1" applyFill="1" applyBorder="1" applyAlignment="1">
      <alignment horizontal="right" vertical="top" wrapText="1"/>
    </xf>
    <xf numFmtId="0" fontId="58" fillId="30" borderId="100" xfId="0" applyFont="1" applyFill="1" applyBorder="1" applyAlignment="1">
      <alignment vertical="top" wrapText="1"/>
    </xf>
    <xf numFmtId="0" fontId="58" fillId="30" borderId="101" xfId="0" applyFont="1" applyFill="1" applyBorder="1" applyAlignment="1">
      <alignment vertical="top" wrapText="1"/>
    </xf>
    <xf numFmtId="0" fontId="58" fillId="30" borderId="91" xfId="0" applyFont="1" applyFill="1" applyBorder="1" applyAlignment="1">
      <alignment vertical="top" wrapText="1"/>
    </xf>
    <xf numFmtId="0" fontId="58" fillId="30" borderId="92" xfId="0" applyFont="1" applyFill="1" applyBorder="1" applyAlignment="1">
      <alignment vertical="top" wrapText="1"/>
    </xf>
    <xf numFmtId="0" fontId="58" fillId="30" borderId="94" xfId="0" applyFont="1" applyFill="1" applyBorder="1" applyAlignment="1">
      <alignment vertical="top" wrapText="1"/>
    </xf>
    <xf numFmtId="0" fontId="58" fillId="30" borderId="95" xfId="0" applyFont="1" applyFill="1" applyBorder="1" applyAlignment="1">
      <alignment vertical="top" wrapText="1"/>
    </xf>
    <xf numFmtId="10" fontId="58" fillId="30" borderId="95" xfId="0" applyNumberFormat="1" applyFont="1" applyFill="1" applyBorder="1" applyAlignment="1">
      <alignment horizontal="right" vertical="top" wrapText="1"/>
    </xf>
    <xf numFmtId="10" fontId="58" fillId="30" borderId="96" xfId="0" applyNumberFormat="1" applyFont="1" applyFill="1" applyBorder="1" applyAlignment="1">
      <alignment horizontal="right" vertical="top" wrapText="1"/>
    </xf>
    <xf numFmtId="10" fontId="58" fillId="30" borderId="89" xfId="0" applyNumberFormat="1" applyFont="1" applyFill="1" applyBorder="1" applyAlignment="1">
      <alignment horizontal="right" vertical="top" wrapText="1"/>
    </xf>
    <xf numFmtId="10" fontId="58" fillId="30" borderId="90" xfId="0" applyNumberFormat="1" applyFont="1" applyFill="1" applyBorder="1" applyAlignment="1">
      <alignment horizontal="right" vertical="top" wrapText="1"/>
    </xf>
    <xf numFmtId="10" fontId="58" fillId="30" borderId="92" xfId="0" applyNumberFormat="1" applyFont="1" applyFill="1" applyBorder="1" applyAlignment="1">
      <alignment horizontal="right" vertical="top" wrapText="1"/>
    </xf>
    <xf numFmtId="10" fontId="58" fillId="30" borderId="93" xfId="0" applyNumberFormat="1" applyFont="1" applyFill="1" applyBorder="1" applyAlignment="1">
      <alignment horizontal="right" vertical="top" wrapText="1"/>
    </xf>
    <xf numFmtId="0" fontId="58" fillId="31" borderId="88" xfId="0" applyFont="1" applyFill="1" applyBorder="1" applyAlignment="1">
      <alignment horizontal="left" vertical="top" wrapText="1"/>
    </xf>
    <xf numFmtId="0" fontId="58" fillId="31" borderId="89" xfId="0" applyFont="1" applyFill="1" applyBorder="1" applyAlignment="1">
      <alignment horizontal="left" vertical="top" wrapText="1"/>
    </xf>
    <xf numFmtId="0" fontId="58" fillId="31" borderId="94" xfId="0" applyFont="1" applyFill="1" applyBorder="1" applyAlignment="1">
      <alignment horizontal="left" vertical="top" wrapText="1"/>
    </xf>
    <xf numFmtId="0" fontId="58" fillId="31" borderId="95" xfId="0" applyFont="1" applyFill="1" applyBorder="1" applyAlignment="1">
      <alignment horizontal="left" vertical="top" wrapText="1"/>
    </xf>
    <xf numFmtId="10" fontId="58" fillId="31" borderId="89" xfId="0" applyNumberFormat="1" applyFont="1" applyFill="1" applyBorder="1" applyAlignment="1">
      <alignment horizontal="right" vertical="top" wrapText="1"/>
    </xf>
    <xf numFmtId="10" fontId="58" fillId="31" borderId="90" xfId="0" applyNumberFormat="1" applyFont="1" applyFill="1" applyBorder="1" applyAlignment="1">
      <alignment horizontal="right" vertical="top" wrapText="1"/>
    </xf>
    <xf numFmtId="10" fontId="58" fillId="31" borderId="98" xfId="0" applyNumberFormat="1" applyFont="1" applyFill="1" applyBorder="1" applyAlignment="1">
      <alignment horizontal="right" vertical="top" wrapText="1"/>
    </xf>
    <xf numFmtId="10" fontId="58" fillId="31" borderId="99" xfId="0" applyNumberFormat="1" applyFont="1" applyFill="1" applyBorder="1" applyAlignment="1">
      <alignment horizontal="right" vertical="top" wrapText="1"/>
    </xf>
    <xf numFmtId="0" fontId="58" fillId="28" borderId="57" xfId="0" applyFont="1" applyFill="1" applyBorder="1" applyAlignment="1">
      <alignment horizontal="left" vertical="top" wrapText="1"/>
    </xf>
    <xf numFmtId="0" fontId="58" fillId="28" borderId="27" xfId="0" applyFont="1" applyFill="1" applyBorder="1" applyAlignment="1">
      <alignment horizontal="left" vertical="top" wrapText="1"/>
    </xf>
    <xf numFmtId="10" fontId="58" fillId="30" borderId="101" xfId="0" applyNumberFormat="1" applyFont="1" applyFill="1" applyBorder="1" applyAlignment="1">
      <alignment horizontal="right" vertical="top" wrapText="1"/>
    </xf>
    <xf numFmtId="10" fontId="58" fillId="30" borderId="102" xfId="0" applyNumberFormat="1" applyFont="1" applyFill="1" applyBorder="1" applyAlignment="1">
      <alignment horizontal="right" vertical="top" wrapText="1"/>
    </xf>
    <xf numFmtId="0" fontId="58" fillId="31" borderId="97" xfId="0" applyFont="1" applyFill="1" applyBorder="1" applyAlignment="1">
      <alignment horizontal="left" vertical="top" wrapText="1"/>
    </xf>
    <xf numFmtId="0" fontId="58" fillId="31" borderId="98" xfId="0" applyFont="1" applyFill="1" applyBorder="1" applyAlignment="1">
      <alignment horizontal="left" vertical="top" wrapText="1"/>
    </xf>
    <xf numFmtId="0" fontId="58" fillId="28" borderId="59" xfId="0" applyFont="1" applyFill="1" applyBorder="1" applyAlignment="1">
      <alignment horizontal="left" vertical="top" wrapText="1"/>
    </xf>
    <xf numFmtId="0" fontId="58" fillId="28" borderId="60" xfId="0" applyFont="1" applyFill="1" applyBorder="1" applyAlignment="1">
      <alignment horizontal="left" vertical="top" wrapText="1"/>
    </xf>
    <xf numFmtId="0" fontId="58" fillId="31" borderId="80" xfId="0" applyFont="1" applyFill="1" applyBorder="1" applyAlignment="1">
      <alignment horizontal="left" vertical="top" wrapText="1"/>
    </xf>
    <xf numFmtId="0" fontId="58" fillId="31" borderId="14" xfId="0" applyFont="1" applyFill="1" applyBorder="1" applyAlignment="1">
      <alignment horizontal="left" vertical="top" wrapText="1"/>
    </xf>
    <xf numFmtId="0" fontId="58" fillId="31" borderId="13" xfId="0" applyFont="1" applyFill="1" applyBorder="1" applyAlignment="1">
      <alignment horizontal="left" vertical="top" wrapText="1"/>
    </xf>
    <xf numFmtId="0" fontId="58" fillId="33" borderId="103" xfId="0" applyFont="1" applyFill="1" applyBorder="1" applyAlignment="1">
      <alignment horizontal="left" vertical="top" wrapText="1"/>
    </xf>
    <xf numFmtId="0" fontId="58" fillId="33" borderId="104" xfId="0" applyFont="1" applyFill="1" applyBorder="1" applyAlignment="1">
      <alignment horizontal="left" vertical="top" wrapText="1"/>
    </xf>
    <xf numFmtId="0" fontId="63" fillId="31" borderId="55" xfId="0" applyFont="1" applyFill="1" applyBorder="1" applyAlignment="1">
      <alignment horizontal="left" vertical="top" wrapText="1"/>
    </xf>
    <xf numFmtId="0" fontId="63" fillId="31" borderId="56" xfId="0" applyFont="1" applyFill="1" applyBorder="1" applyAlignment="1">
      <alignment horizontal="left" vertical="top" wrapText="1"/>
    </xf>
    <xf numFmtId="0" fontId="63" fillId="30" borderId="55" xfId="0" applyFont="1" applyFill="1" applyBorder="1" applyAlignment="1">
      <alignment horizontal="left" vertical="top" wrapText="1"/>
    </xf>
    <xf numFmtId="0" fontId="63" fillId="30" borderId="56" xfId="0" applyFont="1" applyFill="1" applyBorder="1" applyAlignment="1">
      <alignment horizontal="left" vertical="top" wrapText="1"/>
    </xf>
    <xf numFmtId="0" fontId="63" fillId="33" borderId="35" xfId="0" applyFont="1" applyFill="1" applyBorder="1" applyAlignment="1">
      <alignment horizontal="left" vertical="top" wrapText="1"/>
    </xf>
    <xf numFmtId="0" fontId="63" fillId="33" borderId="36" xfId="0" applyFont="1" applyFill="1" applyBorder="1" applyAlignment="1">
      <alignment horizontal="left" vertical="top" wrapText="1"/>
    </xf>
    <xf numFmtId="0" fontId="63" fillId="33" borderId="37" xfId="0" applyFont="1" applyFill="1" applyBorder="1" applyAlignment="1">
      <alignment horizontal="left" vertical="top" wrapText="1"/>
    </xf>
    <xf numFmtId="0" fontId="63" fillId="29" borderId="55" xfId="0" applyFont="1" applyFill="1" applyBorder="1" applyAlignment="1">
      <alignment horizontal="left" vertical="top" wrapText="1"/>
    </xf>
    <xf numFmtId="0" fontId="63" fillId="29" borderId="56" xfId="0" applyFont="1" applyFill="1" applyBorder="1" applyAlignment="1">
      <alignment horizontal="left" vertical="top" wrapText="1"/>
    </xf>
    <xf numFmtId="0" fontId="63" fillId="31" borderId="56" xfId="0" applyFont="1" applyFill="1" applyBorder="1" applyAlignment="1">
      <alignment horizontal="right" vertical="top" wrapText="1"/>
    </xf>
    <xf numFmtId="0" fontId="63" fillId="31" borderId="61" xfId="0" applyFont="1" applyFill="1" applyBorder="1" applyAlignment="1">
      <alignment horizontal="right" vertical="top" wrapText="1"/>
    </xf>
    <xf numFmtId="0" fontId="63" fillId="30" borderId="56" xfId="0" applyFont="1" applyFill="1" applyBorder="1" applyAlignment="1">
      <alignment horizontal="right" vertical="top" wrapText="1"/>
    </xf>
    <xf numFmtId="0" fontId="63" fillId="30" borderId="61" xfId="0" applyFont="1" applyFill="1" applyBorder="1" applyAlignment="1">
      <alignment horizontal="right" vertical="top" wrapText="1"/>
    </xf>
    <xf numFmtId="0" fontId="63" fillId="29" borderId="56" xfId="0" applyFont="1" applyFill="1" applyBorder="1" applyAlignment="1">
      <alignment horizontal="right" vertical="top" wrapText="1"/>
    </xf>
    <xf numFmtId="0" fontId="63" fillId="29" borderId="61" xfId="0" applyFont="1" applyFill="1" applyBorder="1" applyAlignment="1">
      <alignment horizontal="right" vertical="top" wrapText="1"/>
    </xf>
    <xf numFmtId="10" fontId="58" fillId="31" borderId="95" xfId="0" applyNumberFormat="1" applyFont="1" applyFill="1" applyBorder="1" applyAlignment="1">
      <alignment horizontal="right" vertical="top" wrapText="1"/>
    </xf>
    <xf numFmtId="10" fontId="58" fillId="31" borderId="96" xfId="0" applyNumberFormat="1" applyFont="1" applyFill="1" applyBorder="1" applyAlignment="1">
      <alignment horizontal="right" vertical="top" wrapText="1"/>
    </xf>
    <xf numFmtId="0" fontId="30" fillId="24" borderId="21" xfId="82" applyFont="1" applyBorder="1" applyAlignment="1" applyProtection="1">
      <alignment horizontal="center" vertical="center" wrapText="1"/>
    </xf>
    <xf numFmtId="0" fontId="30" fillId="24" borderId="26" xfId="82" applyFont="1" applyBorder="1" applyAlignment="1" applyProtection="1">
      <alignment horizontal="center" vertical="center" wrapText="1"/>
    </xf>
    <xf numFmtId="0" fontId="53" fillId="24" borderId="21" xfId="82" applyFont="1" applyBorder="1" applyAlignment="1" applyProtection="1">
      <alignment horizontal="center" vertical="center" wrapText="1"/>
    </xf>
    <xf numFmtId="0" fontId="53" fillId="24" borderId="26" xfId="82" applyFont="1" applyBorder="1" applyAlignment="1" applyProtection="1">
      <alignment horizontal="center" vertical="center" wrapText="1"/>
    </xf>
    <xf numFmtId="0" fontId="29" fillId="26" borderId="21" xfId="82" applyFill="1" applyBorder="1" applyAlignment="1" applyProtection="1">
      <alignment horizontal="center" vertical="center"/>
    </xf>
    <xf numFmtId="0" fontId="29" fillId="26" borderId="26" xfId="82" applyFill="1" applyBorder="1" applyAlignment="1" applyProtection="1">
      <alignment horizontal="center" vertical="center"/>
    </xf>
    <xf numFmtId="0" fontId="46" fillId="26" borderId="35" xfId="82" applyFont="1" applyFill="1" applyBorder="1" applyAlignment="1" applyProtection="1">
      <alignment horizontal="center" vertical="center" wrapText="1"/>
    </xf>
    <xf numFmtId="0" fontId="46" fillId="26" borderId="37" xfId="82" applyFont="1" applyFill="1" applyBorder="1" applyAlignment="1" applyProtection="1">
      <alignment horizontal="center" vertical="center" wrapText="1"/>
    </xf>
    <xf numFmtId="0" fontId="29" fillId="26" borderId="21" xfId="82" applyFill="1" applyBorder="1" applyAlignment="1" applyProtection="1">
      <alignment horizontal="center" vertical="center" wrapText="1"/>
    </xf>
    <xf numFmtId="0" fontId="29" fillId="26" borderId="26" xfId="82" applyFill="1" applyBorder="1" applyAlignment="1" applyProtection="1">
      <alignment horizontal="center" vertical="center" wrapText="1"/>
    </xf>
    <xf numFmtId="0" fontId="29" fillId="0" borderId="0" xfId="82" applyFill="1" applyBorder="1" applyAlignment="1" applyProtection="1">
      <alignment horizontal="center" vertical="center" wrapText="1"/>
    </xf>
    <xf numFmtId="0" fontId="30" fillId="24" borderId="57" xfId="82" applyFont="1" applyBorder="1" applyAlignment="1" applyProtection="1">
      <alignment horizontal="left" vertical="center" wrapText="1"/>
    </xf>
    <xf numFmtId="0" fontId="30" fillId="24" borderId="27" xfId="82" applyFont="1" applyBorder="1" applyAlignment="1" applyProtection="1">
      <alignment horizontal="left" vertical="center" wrapText="1"/>
    </xf>
    <xf numFmtId="0" fontId="0" fillId="0" borderId="0" xfId="0" applyAlignment="1">
      <alignment horizontal="center"/>
    </xf>
    <xf numFmtId="167" fontId="0" fillId="0" borderId="0" xfId="0" applyNumberFormat="1" applyAlignment="1">
      <alignment horizontal="center"/>
    </xf>
    <xf numFmtId="0" fontId="29" fillId="26" borderId="69" xfId="82" applyFill="1" applyBorder="1" applyAlignment="1" applyProtection="1">
      <alignment horizontal="left" vertical="center" wrapText="1"/>
    </xf>
    <xf numFmtId="0" fontId="29" fillId="26" borderId="79" xfId="82" applyFill="1" applyBorder="1" applyAlignment="1" applyProtection="1">
      <alignment horizontal="left" vertical="center" wrapText="1"/>
    </xf>
    <xf numFmtId="0" fontId="29" fillId="26" borderId="73" xfId="82" applyFill="1" applyBorder="1" applyAlignment="1" applyProtection="1">
      <alignment horizontal="left" vertical="center" wrapText="1"/>
    </xf>
    <xf numFmtId="0" fontId="30" fillId="24" borderId="58" xfId="82" applyFont="1" applyBorder="1" applyAlignment="1" applyProtection="1">
      <alignment horizontal="left" vertical="center" wrapText="1"/>
    </xf>
    <xf numFmtId="0" fontId="30" fillId="24" borderId="53" xfId="82" applyFont="1" applyBorder="1" applyAlignment="1" applyProtection="1">
      <alignment horizontal="left" vertical="center" wrapText="1"/>
    </xf>
    <xf numFmtId="0" fontId="30" fillId="24" borderId="31" xfId="82" applyFont="1" applyBorder="1" applyAlignment="1" applyProtection="1">
      <alignment horizontal="left" vertical="center"/>
    </xf>
    <xf numFmtId="0" fontId="30" fillId="24" borderId="29" xfId="82" applyFont="1" applyBorder="1" applyAlignment="1" applyProtection="1">
      <alignment horizontal="left" vertical="center"/>
    </xf>
    <xf numFmtId="0" fontId="0" fillId="25" borderId="38" xfId="0" applyFill="1" applyBorder="1" applyAlignment="1">
      <alignment horizontal="right" vertical="center" wrapText="1"/>
    </xf>
    <xf numFmtId="0" fontId="0" fillId="25" borderId="39" xfId="0" applyFill="1" applyBorder="1" applyAlignment="1">
      <alignment horizontal="right" vertical="center" wrapText="1"/>
    </xf>
    <xf numFmtId="0" fontId="27" fillId="23" borderId="58" xfId="0" applyFont="1" applyFill="1" applyBorder="1" applyAlignment="1">
      <alignment horizontal="center" vertical="center"/>
    </xf>
    <xf numFmtId="0" fontId="27" fillId="23" borderId="78" xfId="0" applyFont="1" applyFill="1" applyBorder="1" applyAlignment="1">
      <alignment horizontal="center" vertical="center"/>
    </xf>
    <xf numFmtId="0" fontId="27" fillId="23" borderId="69" xfId="0" applyFont="1" applyFill="1" applyBorder="1" applyAlignment="1">
      <alignment horizontal="center" vertical="center" wrapText="1"/>
    </xf>
    <xf numFmtId="0" fontId="27" fillId="23" borderId="73" xfId="0" applyFont="1" applyFill="1" applyBorder="1" applyAlignment="1">
      <alignment horizontal="center" vertical="center" wrapText="1"/>
    </xf>
    <xf numFmtId="0" fontId="46" fillId="26" borderId="69" xfId="82" applyFont="1" applyFill="1" applyBorder="1" applyAlignment="1" applyProtection="1">
      <alignment horizontal="center" vertical="center" wrapText="1"/>
    </xf>
    <xf numFmtId="0" fontId="46" fillId="26" borderId="73" xfId="82" applyFont="1" applyFill="1" applyBorder="1" applyAlignment="1" applyProtection="1">
      <alignment horizontal="center" vertical="center" wrapText="1"/>
    </xf>
    <xf numFmtId="0" fontId="0" fillId="22" borderId="49" xfId="0" applyFill="1" applyBorder="1" applyAlignment="1">
      <alignment horizontal="center" vertical="center" wrapText="1"/>
    </xf>
    <xf numFmtId="0" fontId="0" fillId="22" borderId="75" xfId="0" applyFill="1" applyBorder="1" applyAlignment="1">
      <alignment horizontal="center" vertical="center" wrapText="1"/>
    </xf>
    <xf numFmtId="0" fontId="0" fillId="22" borderId="37" xfId="0" applyFill="1" applyBorder="1" applyAlignment="1">
      <alignment horizontal="center" vertical="center" wrapText="1"/>
    </xf>
    <xf numFmtId="0" fontId="0" fillId="22" borderId="63" xfId="0" applyFill="1" applyBorder="1" applyAlignment="1">
      <alignment horizontal="center" vertical="center" wrapText="1"/>
    </xf>
    <xf numFmtId="0" fontId="24" fillId="23" borderId="76" xfId="0" applyFont="1" applyFill="1" applyBorder="1" applyAlignment="1">
      <alignment horizontal="center" vertical="center" wrapText="1"/>
    </xf>
    <xf numFmtId="0" fontId="24" fillId="23" borderId="50" xfId="0" applyFont="1" applyFill="1" applyBorder="1" applyAlignment="1">
      <alignment horizontal="center" vertical="center" wrapText="1"/>
    </xf>
    <xf numFmtId="0" fontId="0" fillId="22" borderId="55" xfId="0" applyFill="1" applyBorder="1" applyAlignment="1">
      <alignment horizontal="center" vertical="center"/>
    </xf>
    <xf numFmtId="0" fontId="0" fillId="22" borderId="61" xfId="0" applyFill="1" applyBorder="1" applyAlignment="1">
      <alignment horizontal="center" vertical="center"/>
    </xf>
    <xf numFmtId="0" fontId="27" fillId="23" borderId="57" xfId="0" applyFont="1" applyFill="1" applyBorder="1" applyAlignment="1">
      <alignment horizontal="center" vertical="center"/>
    </xf>
    <xf numFmtId="0" fontId="27" fillId="23" borderId="62" xfId="0" applyFont="1" applyFill="1" applyBorder="1" applyAlignment="1">
      <alignment horizontal="center" vertical="center"/>
    </xf>
    <xf numFmtId="0" fontId="18" fillId="23" borderId="48" xfId="0" applyFont="1" applyFill="1" applyBorder="1" applyAlignment="1">
      <alignment horizontal="center" vertical="center" textRotation="90"/>
    </xf>
    <xf numFmtId="0" fontId="18" fillId="23" borderId="22" xfId="0" applyFont="1" applyFill="1" applyBorder="1" applyAlignment="1">
      <alignment horizontal="center" vertical="center" textRotation="90"/>
    </xf>
    <xf numFmtId="0" fontId="45" fillId="23" borderId="69" xfId="0" applyFont="1" applyFill="1" applyBorder="1" applyAlignment="1" applyProtection="1">
      <alignment horizontal="center" vertical="center"/>
      <protection hidden="1"/>
    </xf>
    <xf numFmtId="0" fontId="45" fillId="23" borderId="73" xfId="0" applyFont="1" applyFill="1" applyBorder="1" applyAlignment="1" applyProtection="1">
      <alignment horizontal="center" vertical="center"/>
      <protection hidden="1"/>
    </xf>
    <xf numFmtId="0" fontId="18" fillId="22" borderId="56" xfId="0" applyFont="1" applyFill="1" applyBorder="1" applyAlignment="1">
      <alignment horizontal="left" vertical="center"/>
    </xf>
    <xf numFmtId="0" fontId="18" fillId="22" borderId="16" xfId="0" applyFont="1" applyFill="1" applyBorder="1" applyAlignment="1">
      <alignment horizontal="left" vertical="center"/>
    </xf>
    <xf numFmtId="0" fontId="0" fillId="22" borderId="35" xfId="0" applyFill="1" applyBorder="1" applyAlignment="1">
      <alignment horizontal="center" vertical="center" wrapText="1"/>
    </xf>
    <xf numFmtId="0" fontId="0" fillId="22" borderId="43" xfId="0" applyFill="1" applyBorder="1" applyAlignment="1">
      <alignment horizontal="right" vertical="center"/>
    </xf>
    <xf numFmtId="0" fontId="0" fillId="22" borderId="77" xfId="0" applyFill="1" applyBorder="1" applyAlignment="1">
      <alignment horizontal="right" vertical="center"/>
    </xf>
    <xf numFmtId="0" fontId="18" fillId="22" borderId="55" xfId="0" applyFont="1" applyFill="1" applyBorder="1" applyAlignment="1">
      <alignment horizontal="left" vertical="center"/>
    </xf>
    <xf numFmtId="0" fontId="27" fillId="23" borderId="18" xfId="0" applyFont="1" applyFill="1" applyBorder="1" applyAlignment="1">
      <alignment horizontal="left" vertical="center"/>
    </xf>
    <xf numFmtId="0" fontId="27" fillId="23" borderId="0" xfId="0" applyFont="1" applyFill="1" applyAlignment="1">
      <alignment horizontal="left" vertical="center"/>
    </xf>
    <xf numFmtId="0" fontId="27" fillId="23" borderId="20" xfId="0" applyFont="1" applyFill="1" applyBorder="1" applyAlignment="1">
      <alignment horizontal="left" vertical="center"/>
    </xf>
    <xf numFmtId="0" fontId="27" fillId="23" borderId="23" xfId="0" applyFont="1" applyFill="1" applyBorder="1" applyAlignment="1">
      <alignment horizontal="left" vertical="center"/>
    </xf>
    <xf numFmtId="0" fontId="27" fillId="23" borderId="24" xfId="0" applyFont="1" applyFill="1" applyBorder="1" applyAlignment="1">
      <alignment horizontal="left" vertical="center"/>
    </xf>
    <xf numFmtId="0" fontId="27" fillId="23" borderId="25" xfId="0" applyFont="1" applyFill="1" applyBorder="1" applyAlignment="1">
      <alignment horizontal="left" vertical="center"/>
    </xf>
    <xf numFmtId="0" fontId="19" fillId="23" borderId="69" xfId="0" applyFont="1" applyFill="1" applyBorder="1" applyAlignment="1" applyProtection="1">
      <alignment horizontal="center" vertical="center"/>
      <protection hidden="1"/>
    </xf>
    <xf numFmtId="0" fontId="19" fillId="23" borderId="79" xfId="0" applyFont="1" applyFill="1" applyBorder="1" applyAlignment="1" applyProtection="1">
      <alignment horizontal="center" vertical="center"/>
      <protection hidden="1"/>
    </xf>
    <xf numFmtId="0" fontId="19" fillId="23" borderId="73" xfId="0" applyFont="1" applyFill="1" applyBorder="1" applyAlignment="1" applyProtection="1">
      <alignment horizontal="center" vertical="center"/>
      <protection hidden="1"/>
    </xf>
    <xf numFmtId="0" fontId="45" fillId="23" borderId="23" xfId="0" applyFont="1" applyFill="1" applyBorder="1" applyAlignment="1" applyProtection="1">
      <alignment horizontal="center" vertical="center"/>
      <protection hidden="1"/>
    </xf>
    <xf numFmtId="0" fontId="45" fillId="23" borderId="25" xfId="0" applyFont="1" applyFill="1" applyBorder="1" applyAlignment="1" applyProtection="1">
      <alignment horizontal="center" vertical="center"/>
      <protection hidden="1"/>
    </xf>
    <xf numFmtId="0" fontId="27" fillId="23" borderId="18" xfId="0" applyFont="1" applyFill="1" applyBorder="1" applyAlignment="1">
      <alignment horizontal="center" vertical="center"/>
    </xf>
    <xf numFmtId="0" fontId="27" fillId="23" borderId="20" xfId="0" applyFont="1" applyFill="1" applyBorder="1" applyAlignment="1">
      <alignment horizontal="center" vertical="center"/>
    </xf>
    <xf numFmtId="10" fontId="27" fillId="23" borderId="18" xfId="0" applyNumberFormat="1" applyFont="1" applyFill="1" applyBorder="1" applyAlignment="1">
      <alignment horizontal="center" vertical="center"/>
    </xf>
    <xf numFmtId="10" fontId="27" fillId="23" borderId="20" xfId="0" applyNumberFormat="1" applyFont="1" applyFill="1" applyBorder="1" applyAlignment="1">
      <alignment horizontal="center" vertical="center"/>
    </xf>
    <xf numFmtId="10" fontId="27" fillId="23" borderId="0" xfId="0" applyNumberFormat="1" applyFont="1" applyFill="1" applyAlignment="1">
      <alignment horizontal="center" vertical="center"/>
    </xf>
    <xf numFmtId="49" fontId="45" fillId="23" borderId="15" xfId="0" applyNumberFormat="1" applyFont="1" applyFill="1" applyBorder="1" applyAlignment="1" applyProtection="1">
      <alignment horizontal="center" vertical="center" shrinkToFit="1"/>
      <protection hidden="1"/>
    </xf>
    <xf numFmtId="49" fontId="45" fillId="23" borderId="17" xfId="0" applyNumberFormat="1" applyFont="1" applyFill="1" applyBorder="1" applyAlignment="1" applyProtection="1">
      <alignment horizontal="center" vertical="center" shrinkToFit="1"/>
      <protection hidden="1"/>
    </xf>
    <xf numFmtId="49" fontId="45" fillId="23" borderId="16" xfId="0" applyNumberFormat="1" applyFont="1" applyFill="1" applyBorder="1" applyAlignment="1" applyProtection="1">
      <alignment horizontal="center" vertical="center" shrinkToFit="1"/>
      <protection hidden="1"/>
    </xf>
    <xf numFmtId="0" fontId="27" fillId="23" borderId="0" xfId="0" applyFont="1" applyFill="1" applyAlignment="1">
      <alignment horizontal="center" vertical="center"/>
    </xf>
    <xf numFmtId="10" fontId="27" fillId="23" borderId="23" xfId="0" applyNumberFormat="1" applyFont="1" applyFill="1" applyBorder="1" applyAlignment="1">
      <alignment horizontal="center" vertical="center"/>
    </xf>
    <xf numFmtId="10" fontId="27" fillId="23" borderId="25" xfId="0" applyNumberFormat="1" applyFont="1" applyFill="1" applyBorder="1" applyAlignment="1">
      <alignment horizontal="center" vertical="center"/>
    </xf>
    <xf numFmtId="10" fontId="27" fillId="23" borderId="24" xfId="0" applyNumberFormat="1" applyFont="1" applyFill="1" applyBorder="1" applyAlignment="1">
      <alignment horizontal="center" vertical="center"/>
    </xf>
    <xf numFmtId="0" fontId="27" fillId="23" borderId="18" xfId="0" applyFont="1" applyFill="1" applyBorder="1" applyAlignment="1">
      <alignment horizontal="left" vertical="center" shrinkToFit="1"/>
    </xf>
    <xf numFmtId="0" fontId="27" fillId="23" borderId="0" xfId="0" applyFont="1" applyFill="1" applyAlignment="1">
      <alignment horizontal="left" vertical="center" shrinkToFit="1"/>
    </xf>
    <xf numFmtId="0" fontId="27" fillId="23" borderId="20" xfId="0" applyFont="1" applyFill="1" applyBorder="1" applyAlignment="1">
      <alignment horizontal="left" vertical="center" shrinkToFit="1"/>
    </xf>
    <xf numFmtId="0" fontId="22" fillId="0" borderId="57" xfId="81" applyFill="1" applyBorder="1" applyAlignment="1" applyProtection="1">
      <alignment horizontal="left" vertical="center" wrapText="1"/>
      <protection locked="0"/>
    </xf>
    <xf numFmtId="0" fontId="22" fillId="0" borderId="62" xfId="81" applyFill="1" applyBorder="1" applyAlignment="1" applyProtection="1">
      <alignment horizontal="left" vertical="center" wrapText="1"/>
      <protection locked="0"/>
    </xf>
    <xf numFmtId="0" fontId="59" fillId="0" borderId="58" xfId="0" applyFont="1" applyBorder="1" applyAlignment="1">
      <alignment horizontal="center" wrapText="1"/>
    </xf>
    <xf numFmtId="0" fontId="59" fillId="0" borderId="78" xfId="0" applyFont="1" applyBorder="1" applyAlignment="1">
      <alignment horizontal="center" wrapText="1"/>
    </xf>
    <xf numFmtId="0" fontId="59" fillId="23" borderId="69" xfId="0" applyFont="1" applyFill="1" applyBorder="1" applyAlignment="1">
      <alignment horizontal="center" vertical="center" wrapText="1"/>
    </xf>
    <xf numFmtId="0" fontId="59" fillId="23" borderId="73" xfId="0" applyFont="1" applyFill="1" applyBorder="1" applyAlignment="1">
      <alignment horizontal="center" vertical="center" wrapText="1"/>
    </xf>
    <xf numFmtId="0" fontId="59" fillId="22" borderId="37" xfId="0" applyFont="1" applyFill="1" applyBorder="1" applyAlignment="1">
      <alignment horizontal="center" vertical="center" wrapText="1"/>
    </xf>
    <xf numFmtId="0" fontId="41" fillId="22" borderId="49" xfId="0" applyFont="1" applyFill="1" applyBorder="1" applyAlignment="1">
      <alignment horizontal="center" vertical="center" wrapText="1"/>
    </xf>
    <xf numFmtId="0" fontId="41" fillId="22" borderId="37" xfId="0" applyFont="1" applyFill="1" applyBorder="1" applyAlignment="1">
      <alignment horizontal="center" vertical="center" wrapText="1"/>
    </xf>
    <xf numFmtId="0" fontId="41" fillId="22" borderId="43" xfId="0" applyFont="1" applyFill="1" applyBorder="1" applyAlignment="1">
      <alignment horizontal="left" vertical="center"/>
    </xf>
    <xf numFmtId="0" fontId="41" fillId="22" borderId="77" xfId="0" applyFont="1" applyFill="1" applyBorder="1" applyAlignment="1">
      <alignment horizontal="left" vertical="center"/>
    </xf>
    <xf numFmtId="0" fontId="0" fillId="25" borderId="38" xfId="0" applyFill="1" applyBorder="1" applyAlignment="1" applyProtection="1">
      <alignment horizontal="left" vertical="center" wrapText="1"/>
      <protection locked="0"/>
    </xf>
    <xf numFmtId="0" fontId="0" fillId="25" borderId="39" xfId="0" applyFill="1" applyBorder="1" applyAlignment="1" applyProtection="1">
      <alignment horizontal="left" vertical="center" wrapText="1"/>
      <protection locked="0"/>
    </xf>
    <xf numFmtId="0" fontId="22" fillId="0" borderId="38" xfId="81" applyFill="1" applyBorder="1" applyAlignment="1" applyProtection="1">
      <alignment horizontal="left" vertical="center" wrapText="1"/>
      <protection locked="0"/>
    </xf>
    <xf numFmtId="0" fontId="22" fillId="0" borderId="39" xfId="81" applyFill="1" applyBorder="1" applyAlignment="1" applyProtection="1">
      <alignment horizontal="left" vertical="center" wrapText="1"/>
      <protection locked="0"/>
    </xf>
    <xf numFmtId="0" fontId="41" fillId="22" borderId="35" xfId="0" applyFont="1" applyFill="1" applyBorder="1" applyAlignment="1">
      <alignment horizontal="center" vertical="center" wrapText="1"/>
    </xf>
    <xf numFmtId="0" fontId="54" fillId="23" borderId="69" xfId="0" applyFont="1" applyFill="1" applyBorder="1" applyAlignment="1" applyProtection="1">
      <alignment horizontal="center" vertical="center"/>
      <protection hidden="1"/>
    </xf>
    <xf numFmtId="0" fontId="54" fillId="23" borderId="79" xfId="0" applyFont="1" applyFill="1" applyBorder="1" applyAlignment="1" applyProtection="1">
      <alignment horizontal="center" vertical="center"/>
      <protection hidden="1"/>
    </xf>
    <xf numFmtId="0" fontId="54" fillId="23" borderId="73" xfId="0" applyFont="1" applyFill="1" applyBorder="1" applyAlignment="1" applyProtection="1">
      <alignment horizontal="center" vertical="center"/>
      <protection hidden="1"/>
    </xf>
    <xf numFmtId="0" fontId="58" fillId="23" borderId="76" xfId="0" applyFont="1" applyFill="1" applyBorder="1" applyAlignment="1">
      <alignment horizontal="center" vertical="center" wrapText="1"/>
    </xf>
    <xf numFmtId="0" fontId="58" fillId="23" borderId="50" xfId="0" applyFont="1" applyFill="1" applyBorder="1" applyAlignment="1">
      <alignment horizontal="center" vertical="center" wrapText="1"/>
    </xf>
    <xf numFmtId="0" fontId="59" fillId="22" borderId="63" xfId="0" applyFont="1" applyFill="1" applyBorder="1" applyAlignment="1">
      <alignment horizontal="center" vertical="center" wrapText="1"/>
    </xf>
    <xf numFmtId="166" fontId="59" fillId="22" borderId="49" xfId="0" applyNumberFormat="1" applyFont="1" applyFill="1" applyBorder="1" applyAlignment="1">
      <alignment horizontal="center" vertical="center" wrapText="1"/>
    </xf>
    <xf numFmtId="166" fontId="59" fillId="22" borderId="75" xfId="0" applyNumberFormat="1" applyFont="1" applyFill="1" applyBorder="1" applyAlignment="1">
      <alignment horizontal="center" vertical="center" wrapText="1"/>
    </xf>
    <xf numFmtId="0" fontId="18" fillId="22" borderId="58" xfId="0" applyFont="1" applyFill="1" applyBorder="1" applyAlignment="1">
      <alignment horizontal="left" vertical="center"/>
    </xf>
    <xf numFmtId="0" fontId="22" fillId="0" borderId="45" xfId="81" applyFill="1" applyBorder="1" applyAlignment="1" applyProtection="1">
      <alignment horizontal="left" vertical="center"/>
      <protection locked="0"/>
    </xf>
    <xf numFmtId="0" fontId="22" fillId="0" borderId="50" xfId="81" applyFill="1" applyBorder="1" applyAlignment="1" applyProtection="1">
      <alignment horizontal="left" vertical="center"/>
      <protection locked="0"/>
    </xf>
    <xf numFmtId="0" fontId="18" fillId="22" borderId="53" xfId="0" applyFont="1" applyFill="1" applyBorder="1" applyAlignment="1">
      <alignment horizontal="left" vertical="center"/>
    </xf>
    <xf numFmtId="0" fontId="0" fillId="25" borderId="57" xfId="0" applyFill="1" applyBorder="1" applyAlignment="1" applyProtection="1">
      <alignment horizontal="left" vertical="center"/>
      <protection locked="0"/>
    </xf>
    <xf numFmtId="0" fontId="0" fillId="25" borderId="62" xfId="0" applyFill="1" applyBorder="1" applyAlignment="1" applyProtection="1">
      <alignment horizontal="left" vertical="center"/>
      <protection locked="0"/>
    </xf>
    <xf numFmtId="0" fontId="46" fillId="26" borderId="55" xfId="82" applyFont="1" applyFill="1" applyBorder="1" applyAlignment="1" applyProtection="1">
      <alignment horizontal="center" vertical="center" wrapText="1"/>
    </xf>
    <xf numFmtId="0" fontId="46" fillId="26" borderId="61" xfId="82" applyFont="1" applyFill="1" applyBorder="1" applyAlignment="1" applyProtection="1">
      <alignment horizontal="center" vertical="center" wrapText="1"/>
    </xf>
    <xf numFmtId="0" fontId="38" fillId="22" borderId="42" xfId="0" applyFont="1" applyFill="1" applyBorder="1" applyAlignment="1">
      <alignment horizontal="center" vertical="center" wrapText="1"/>
    </xf>
    <xf numFmtId="0" fontId="38" fillId="22" borderId="61" xfId="0" applyFont="1" applyFill="1" applyBorder="1" applyAlignment="1">
      <alignment horizontal="center" vertical="center" wrapText="1"/>
    </xf>
    <xf numFmtId="0" fontId="24" fillId="23" borderId="31" xfId="0" applyFont="1" applyFill="1" applyBorder="1" applyAlignment="1">
      <alignment horizontal="center" vertical="center" wrapText="1"/>
    </xf>
    <xf numFmtId="0" fontId="24" fillId="23" borderId="74" xfId="0" applyFont="1" applyFill="1" applyBorder="1" applyAlignment="1">
      <alignment horizontal="center" vertical="center" wrapText="1"/>
    </xf>
    <xf numFmtId="0" fontId="24" fillId="23" borderId="58" xfId="0" applyFont="1" applyFill="1" applyBorder="1" applyAlignment="1">
      <alignment horizontal="center" vertical="center" wrapText="1"/>
    </xf>
    <xf numFmtId="0" fontId="24" fillId="23" borderId="78" xfId="0" applyFont="1" applyFill="1" applyBorder="1" applyAlignment="1">
      <alignment horizontal="center" vertical="center" wrapText="1"/>
    </xf>
    <xf numFmtId="0" fontId="0" fillId="22" borderId="42" xfId="0" applyFill="1" applyBorder="1" applyAlignment="1">
      <alignment horizontal="left" vertical="center"/>
    </xf>
    <xf numFmtId="0" fontId="0" fillId="22" borderId="61" xfId="0" applyFill="1" applyBorder="1" applyAlignment="1">
      <alignment horizontal="left" vertical="center"/>
    </xf>
    <xf numFmtId="0" fontId="22" fillId="0" borderId="26" xfId="81" applyFill="1" applyBorder="1" applyAlignment="1" applyProtection="1">
      <alignment horizontal="left" vertical="center"/>
      <protection locked="0"/>
    </xf>
    <xf numFmtId="0" fontId="22" fillId="0" borderId="62" xfId="81" applyFill="1" applyBorder="1" applyAlignment="1" applyProtection="1">
      <alignment horizontal="left" vertical="center"/>
      <protection locked="0"/>
    </xf>
    <xf numFmtId="0" fontId="0" fillId="22" borderId="42" xfId="0" applyFill="1" applyBorder="1" applyAlignment="1">
      <alignment horizontal="center" vertical="center" wrapText="1"/>
    </xf>
    <xf numFmtId="0" fontId="0" fillId="22" borderId="61" xfId="0" applyFill="1" applyBorder="1" applyAlignment="1">
      <alignment horizontal="center" vertical="center" wrapText="1"/>
    </xf>
    <xf numFmtId="0" fontId="0" fillId="0" borderId="62" xfId="0" applyBorder="1" applyAlignment="1">
      <alignment horizontal="left" vertical="center"/>
    </xf>
    <xf numFmtId="0" fontId="18" fillId="22" borderId="35" xfId="0" applyFont="1" applyFill="1" applyBorder="1" applyAlignment="1">
      <alignment horizontal="left" vertical="center"/>
    </xf>
    <xf numFmtId="0" fontId="22" fillId="0" borderId="64" xfId="81" applyFill="1" applyBorder="1" applyAlignment="1" applyProtection="1">
      <alignment horizontal="left" vertical="center"/>
      <protection locked="0"/>
    </xf>
    <xf numFmtId="0" fontId="22" fillId="0" borderId="65" xfId="81" applyFill="1" applyBorder="1" applyAlignment="1" applyProtection="1">
      <alignment horizontal="left" vertical="center"/>
      <protection locked="0"/>
    </xf>
    <xf numFmtId="0" fontId="0" fillId="0" borderId="0" xfId="0" applyAlignment="1">
      <alignment horizontal="left" indent="5"/>
    </xf>
    <xf numFmtId="0" fontId="27" fillId="23" borderId="42" xfId="0" applyFont="1" applyFill="1" applyBorder="1" applyAlignment="1">
      <alignment horizontal="left" vertical="center"/>
    </xf>
    <xf numFmtId="0" fontId="27" fillId="23" borderId="56" xfId="0" applyFont="1" applyFill="1" applyBorder="1" applyAlignment="1">
      <alignment horizontal="left" vertical="center"/>
    </xf>
    <xf numFmtId="0" fontId="27" fillId="23" borderId="26" xfId="0" applyFont="1" applyFill="1" applyBorder="1" applyAlignment="1">
      <alignment horizontal="left" vertical="center"/>
    </xf>
    <xf numFmtId="0" fontId="27" fillId="23" borderId="27" xfId="0" applyFont="1" applyFill="1" applyBorder="1" applyAlignment="1">
      <alignment horizontal="left" vertical="center"/>
    </xf>
    <xf numFmtId="0" fontId="45" fillId="23" borderId="15" xfId="0" applyFont="1" applyFill="1" applyBorder="1" applyAlignment="1" applyProtection="1">
      <alignment horizontal="center" vertical="center" shrinkToFit="1"/>
      <protection hidden="1"/>
    </xf>
    <xf numFmtId="0" fontId="45" fillId="23" borderId="17" xfId="0" applyFont="1" applyFill="1" applyBorder="1" applyAlignment="1" applyProtection="1">
      <alignment horizontal="center" vertical="center" shrinkToFit="1"/>
      <protection hidden="1"/>
    </xf>
    <xf numFmtId="0" fontId="53" fillId="24" borderId="58" xfId="82" applyFont="1" applyBorder="1" applyAlignment="1" applyProtection="1">
      <alignment horizontal="center"/>
    </xf>
    <xf numFmtId="0" fontId="53" fillId="24" borderId="78" xfId="82" applyFont="1" applyBorder="1" applyAlignment="1" applyProtection="1">
      <alignment horizontal="center"/>
    </xf>
    <xf numFmtId="10" fontId="27" fillId="23" borderId="59" xfId="0" applyNumberFormat="1" applyFont="1" applyFill="1" applyBorder="1" applyAlignment="1">
      <alignment horizontal="center" vertical="center"/>
    </xf>
    <xf numFmtId="10" fontId="27" fillId="23" borderId="65" xfId="0" applyNumberFormat="1" applyFont="1" applyFill="1" applyBorder="1" applyAlignment="1">
      <alignment horizontal="center" vertical="center"/>
    </xf>
    <xf numFmtId="0" fontId="18" fillId="23" borderId="18" xfId="0" applyFont="1" applyFill="1" applyBorder="1" applyAlignment="1">
      <alignment horizontal="left" vertical="center"/>
    </xf>
    <xf numFmtId="0" fontId="0" fillId="0" borderId="65" xfId="0" applyBorder="1" applyAlignment="1">
      <alignment horizontal="left" vertical="center"/>
    </xf>
    <xf numFmtId="0" fontId="30" fillId="24" borderId="80" xfId="82" applyFont="1" applyBorder="1" applyAlignment="1" applyProtection="1">
      <alignment horizontal="left" vertical="top" wrapText="1"/>
    </xf>
    <xf numFmtId="0" fontId="30" fillId="24" borderId="13" xfId="82" applyFont="1" applyBorder="1" applyAlignment="1" applyProtection="1">
      <alignment horizontal="left" vertical="top" wrapText="1"/>
    </xf>
    <xf numFmtId="0" fontId="30" fillId="24" borderId="14" xfId="82" applyFont="1" applyBorder="1" applyAlignment="1" applyProtection="1">
      <alignment horizontal="left" vertical="top" wrapText="1"/>
    </xf>
    <xf numFmtId="1" fontId="27" fillId="23" borderId="57" xfId="0" applyNumberFormat="1" applyFont="1" applyFill="1" applyBorder="1" applyAlignment="1">
      <alignment horizontal="right" vertical="center"/>
    </xf>
    <xf numFmtId="1" fontId="27" fillId="23" borderId="27" xfId="0" applyNumberFormat="1" applyFont="1" applyFill="1" applyBorder="1" applyAlignment="1">
      <alignment horizontal="right" vertical="center"/>
    </xf>
    <xf numFmtId="0" fontId="29" fillId="26" borderId="39" xfId="82" applyFill="1" applyBorder="1" applyAlignment="1" applyProtection="1">
      <alignment horizontal="center" vertical="center" wrapText="1"/>
    </xf>
    <xf numFmtId="0" fontId="46" fillId="26" borderId="36" xfId="82" applyFont="1" applyFill="1" applyBorder="1" applyAlignment="1" applyProtection="1">
      <alignment horizontal="center" vertical="center" wrapText="1"/>
    </xf>
    <xf numFmtId="170" fontId="32" fillId="24" borderId="18" xfId="83" applyNumberFormat="1" applyFont="1" applyBorder="1" applyAlignment="1" applyProtection="1">
      <alignment horizontal="center" wrapText="1"/>
    </xf>
    <xf numFmtId="170" fontId="32" fillId="24" borderId="0" xfId="83" applyNumberFormat="1" applyFont="1" applyBorder="1" applyAlignment="1" applyProtection="1">
      <alignment horizontal="center" wrapText="1"/>
    </xf>
    <xf numFmtId="170" fontId="32" fillId="24" borderId="20" xfId="83" applyNumberFormat="1" applyFont="1" applyBorder="1" applyAlignment="1" applyProtection="1">
      <alignment horizontal="center" wrapText="1"/>
    </xf>
    <xf numFmtId="170" fontId="32" fillId="24" borderId="58" xfId="83" applyNumberFormat="1" applyFont="1" applyBorder="1" applyAlignment="1" applyProtection="1">
      <alignment horizontal="center" wrapText="1"/>
    </xf>
    <xf numFmtId="170" fontId="32" fillId="24" borderId="53" xfId="83" applyNumberFormat="1" applyFont="1" applyBorder="1" applyAlignment="1" applyProtection="1">
      <alignment horizontal="center" wrapText="1"/>
    </xf>
    <xf numFmtId="170" fontId="32" fillId="24" borderId="78" xfId="83" applyNumberFormat="1" applyFont="1" applyBorder="1" applyAlignment="1" applyProtection="1">
      <alignment horizontal="center" wrapText="1"/>
    </xf>
    <xf numFmtId="0" fontId="29" fillId="26" borderId="40" xfId="82" applyFill="1" applyBorder="1" applyAlignment="1" applyProtection="1">
      <alignment horizontal="center" vertical="center" wrapText="1"/>
    </xf>
    <xf numFmtId="0" fontId="29" fillId="26" borderId="43" xfId="82" applyFill="1" applyBorder="1" applyAlignment="1" applyProtection="1">
      <alignment horizontal="center" vertical="center" wrapText="1"/>
    </xf>
    <xf numFmtId="0" fontId="29" fillId="26" borderId="19" xfId="82" applyFill="1" applyBorder="1" applyAlignment="1" applyProtection="1">
      <alignment horizontal="center" vertical="center" wrapText="1"/>
    </xf>
    <xf numFmtId="0" fontId="29" fillId="26" borderId="72" xfId="82" applyFill="1" applyBorder="1" applyAlignment="1" applyProtection="1">
      <alignment horizontal="center" vertical="center" wrapText="1"/>
    </xf>
    <xf numFmtId="0" fontId="29" fillId="26" borderId="41" xfId="82" applyFill="1" applyBorder="1" applyAlignment="1" applyProtection="1">
      <alignment horizontal="center" vertical="center" wrapText="1"/>
    </xf>
    <xf numFmtId="0" fontId="29" fillId="26" borderId="77" xfId="82" applyFill="1" applyBorder="1" applyAlignment="1" applyProtection="1">
      <alignment horizontal="center" vertical="center" wrapText="1"/>
    </xf>
    <xf numFmtId="0" fontId="29" fillId="26" borderId="31" xfId="82" applyFill="1" applyBorder="1" applyAlignment="1" applyProtection="1">
      <alignment horizontal="center" vertical="center" wrapText="1"/>
    </xf>
    <xf numFmtId="0" fontId="29" fillId="26" borderId="58" xfId="82" applyFill="1" applyBorder="1" applyAlignment="1" applyProtection="1">
      <alignment horizontal="center" vertical="center" wrapText="1"/>
    </xf>
    <xf numFmtId="0" fontId="29" fillId="26" borderId="29" xfId="82" applyFill="1" applyBorder="1" applyAlignment="1" applyProtection="1">
      <alignment horizontal="center" vertical="center" wrapText="1"/>
    </xf>
    <xf numFmtId="0" fontId="29" fillId="26" borderId="53" xfId="82" applyFill="1" applyBorder="1" applyAlignment="1" applyProtection="1">
      <alignment horizontal="center" vertical="center" wrapText="1"/>
    </xf>
    <xf numFmtId="0" fontId="29" fillId="26" borderId="74" xfId="82" applyFill="1" applyBorder="1" applyAlignment="1" applyProtection="1">
      <alignment horizontal="center" vertical="center" wrapText="1"/>
    </xf>
    <xf numFmtId="0" fontId="29" fillId="26" borderId="78" xfId="82" applyFill="1" applyBorder="1" applyAlignment="1" applyProtection="1">
      <alignment horizontal="center" vertical="center" wrapText="1"/>
    </xf>
    <xf numFmtId="0" fontId="29" fillId="26" borderId="38" xfId="82" applyFill="1" applyBorder="1" applyAlignment="1" applyProtection="1">
      <alignment horizontal="center" vertical="center" wrapText="1"/>
    </xf>
    <xf numFmtId="0" fontId="29" fillId="26" borderId="48" xfId="82" applyFill="1" applyBorder="1" applyAlignment="1" applyProtection="1">
      <alignment horizontal="center" vertical="center"/>
    </xf>
    <xf numFmtId="0" fontId="29" fillId="26" borderId="82" xfId="82" applyFill="1" applyBorder="1" applyAlignment="1" applyProtection="1">
      <alignment horizontal="center" vertical="center"/>
    </xf>
    <xf numFmtId="0" fontId="56" fillId="0" borderId="57" xfId="0" applyFont="1" applyBorder="1" applyAlignment="1" applyProtection="1">
      <alignment horizontal="center" vertical="center"/>
      <protection locked="0"/>
    </xf>
    <xf numFmtId="0" fontId="56" fillId="0" borderId="27" xfId="0" applyFont="1" applyBorder="1" applyAlignment="1" applyProtection="1">
      <alignment horizontal="center" vertical="center"/>
      <protection locked="0"/>
    </xf>
    <xf numFmtId="0" fontId="56" fillId="0" borderId="62" xfId="0" applyFont="1" applyBorder="1" applyAlignment="1" applyProtection="1">
      <alignment horizontal="center" vertical="center"/>
      <protection locked="0"/>
    </xf>
    <xf numFmtId="2" fontId="27" fillId="23" borderId="57" xfId="0" applyNumberFormat="1" applyFont="1" applyFill="1" applyBorder="1" applyAlignment="1">
      <alignment horizontal="center" vertical="center"/>
    </xf>
    <xf numFmtId="2" fontId="27" fillId="23" borderId="27" xfId="0" applyNumberFormat="1" applyFont="1" applyFill="1" applyBorder="1" applyAlignment="1">
      <alignment horizontal="center" vertical="center"/>
    </xf>
    <xf numFmtId="2" fontId="27" fillId="23" borderId="62" xfId="0" applyNumberFormat="1" applyFont="1" applyFill="1" applyBorder="1" applyAlignment="1">
      <alignment horizontal="center" vertical="center"/>
    </xf>
    <xf numFmtId="0" fontId="27" fillId="23" borderId="27" xfId="0" applyFont="1" applyFill="1" applyBorder="1" applyAlignment="1">
      <alignment horizontal="center" vertical="center"/>
    </xf>
    <xf numFmtId="0" fontId="45" fillId="23" borderId="55" xfId="0" applyFont="1" applyFill="1" applyBorder="1" applyAlignment="1" applyProtection="1">
      <alignment horizontal="center" vertical="center"/>
      <protection hidden="1"/>
    </xf>
    <xf numFmtId="0" fontId="45" fillId="23" borderId="56" xfId="0" applyFont="1" applyFill="1" applyBorder="1" applyAlignment="1" applyProtection="1">
      <alignment horizontal="center" vertical="center"/>
      <protection hidden="1"/>
    </xf>
    <xf numFmtId="0" fontId="45" fillId="23" borderId="61" xfId="0" applyFont="1" applyFill="1" applyBorder="1" applyAlignment="1" applyProtection="1">
      <alignment horizontal="center" vertical="center"/>
      <protection hidden="1"/>
    </xf>
    <xf numFmtId="10" fontId="27" fillId="23" borderId="57" xfId="0" applyNumberFormat="1" applyFont="1" applyFill="1" applyBorder="1" applyAlignment="1">
      <alignment horizontal="center" vertical="center"/>
    </xf>
    <xf numFmtId="10" fontId="27" fillId="23" borderId="27" xfId="0" applyNumberFormat="1" applyFont="1" applyFill="1" applyBorder="1" applyAlignment="1">
      <alignment horizontal="center" vertical="center"/>
    </xf>
    <xf numFmtId="10" fontId="27" fillId="23" borderId="62" xfId="0" applyNumberFormat="1" applyFont="1" applyFill="1" applyBorder="1" applyAlignment="1">
      <alignment horizontal="center" vertical="center"/>
    </xf>
    <xf numFmtId="0" fontId="29" fillId="26" borderId="12" xfId="82" applyFill="1" applyBorder="1" applyAlignment="1" applyProtection="1">
      <alignment horizontal="center" vertical="center"/>
    </xf>
    <xf numFmtId="0" fontId="29" fillId="26" borderId="86" xfId="82" applyFill="1" applyBorder="1" applyAlignment="1" applyProtection="1">
      <alignment horizontal="center" vertical="center"/>
    </xf>
    <xf numFmtId="0" fontId="30" fillId="24" borderId="82" xfId="82" applyFont="1" applyBorder="1" applyAlignment="1" applyProtection="1">
      <alignment horizontal="center" vertical="center" wrapText="1"/>
    </xf>
    <xf numFmtId="0" fontId="30" fillId="24" borderId="83" xfId="82" applyFont="1" applyBorder="1" applyAlignment="1" applyProtection="1">
      <alignment horizontal="center" vertical="center" wrapText="1"/>
    </xf>
    <xf numFmtId="0" fontId="41" fillId="28" borderId="38" xfId="0" applyFont="1" applyFill="1" applyBorder="1" applyAlignment="1">
      <alignment horizontal="center" wrapText="1"/>
    </xf>
    <xf numFmtId="0" fontId="41" fillId="28" borderId="21" xfId="0" applyFont="1" applyFill="1" applyBorder="1" applyAlignment="1">
      <alignment horizontal="center" wrapText="1"/>
    </xf>
    <xf numFmtId="0" fontId="41" fillId="28" borderId="39" xfId="0" applyFont="1" applyFill="1" applyBorder="1" applyAlignment="1">
      <alignment horizontal="center" wrapText="1"/>
    </xf>
    <xf numFmtId="0" fontId="30" fillId="26" borderId="55" xfId="82" applyFont="1" applyFill="1" applyBorder="1" applyAlignment="1" applyProtection="1">
      <alignment horizontal="center" vertical="center"/>
    </xf>
    <xf numFmtId="0" fontId="30" fillId="26" borderId="15" xfId="82" applyFont="1" applyFill="1" applyBorder="1" applyAlignment="1" applyProtection="1">
      <alignment horizontal="center" vertical="center"/>
    </xf>
    <xf numFmtId="0" fontId="46" fillId="26" borderId="15" xfId="82" applyFont="1" applyFill="1" applyBorder="1" applyAlignment="1" applyProtection="1">
      <alignment horizontal="center" vertical="center" wrapText="1"/>
    </xf>
    <xf numFmtId="0" fontId="46" fillId="26" borderId="17" xfId="82" applyFont="1" applyFill="1" applyBorder="1" applyAlignment="1" applyProtection="1">
      <alignment horizontal="center" vertical="center" wrapText="1"/>
    </xf>
    <xf numFmtId="0" fontId="27" fillId="23" borderId="57" xfId="0" applyFont="1" applyFill="1" applyBorder="1" applyAlignment="1">
      <alignment horizontal="center" vertical="center" wrapText="1"/>
    </xf>
    <xf numFmtId="0" fontId="27" fillId="23" borderId="27" xfId="0" applyFont="1" applyFill="1" applyBorder="1" applyAlignment="1">
      <alignment horizontal="center" vertical="center" wrapText="1"/>
    </xf>
    <xf numFmtId="0" fontId="27" fillId="23" borderId="62" xfId="0" applyFont="1" applyFill="1" applyBorder="1" applyAlignment="1">
      <alignment horizontal="center" vertical="center" wrapText="1"/>
    </xf>
    <xf numFmtId="166" fontId="27" fillId="23" borderId="59" xfId="0" applyNumberFormat="1" applyFont="1" applyFill="1" applyBorder="1" applyAlignment="1">
      <alignment horizontal="center" vertical="center"/>
    </xf>
    <xf numFmtId="166" fontId="27" fillId="23" borderId="60" xfId="0" applyNumberFormat="1" applyFont="1" applyFill="1" applyBorder="1" applyAlignment="1">
      <alignment horizontal="center" vertical="center"/>
    </xf>
    <xf numFmtId="166" fontId="27" fillId="23" borderId="65" xfId="0" applyNumberFormat="1" applyFont="1" applyFill="1" applyBorder="1" applyAlignment="1">
      <alignment horizontal="center" vertical="center"/>
    </xf>
    <xf numFmtId="0" fontId="27" fillId="23" borderId="59" xfId="0" applyFont="1" applyFill="1" applyBorder="1" applyAlignment="1">
      <alignment horizontal="right" vertical="center"/>
    </xf>
    <xf numFmtId="0" fontId="27" fillId="23" borderId="60" xfId="0" applyFont="1" applyFill="1" applyBorder="1" applyAlignment="1">
      <alignment horizontal="right" vertical="center"/>
    </xf>
    <xf numFmtId="2" fontId="27" fillId="23" borderId="57" xfId="0" applyNumberFormat="1" applyFont="1" applyFill="1" applyBorder="1" applyAlignment="1">
      <alignment horizontal="right" vertical="center"/>
    </xf>
    <xf numFmtId="2" fontId="27" fillId="23" borderId="27" xfId="0" applyNumberFormat="1" applyFont="1" applyFill="1" applyBorder="1" applyAlignment="1">
      <alignment horizontal="right" vertical="center"/>
    </xf>
    <xf numFmtId="168" fontId="27" fillId="23" borderId="57" xfId="0" applyNumberFormat="1" applyFont="1" applyFill="1" applyBorder="1" applyAlignment="1">
      <alignment horizontal="center" vertical="center"/>
    </xf>
    <xf numFmtId="168" fontId="27" fillId="23" borderId="27" xfId="0" applyNumberFormat="1" applyFont="1" applyFill="1" applyBorder="1" applyAlignment="1">
      <alignment horizontal="center" vertical="center"/>
    </xf>
    <xf numFmtId="168" fontId="27" fillId="23" borderId="62" xfId="0" applyNumberFormat="1" applyFont="1" applyFill="1" applyBorder="1" applyAlignment="1">
      <alignment horizontal="center" vertical="center"/>
    </xf>
    <xf numFmtId="2" fontId="27" fillId="23" borderId="59" xfId="0" applyNumberFormat="1" applyFont="1" applyFill="1" applyBorder="1" applyAlignment="1">
      <alignment horizontal="center" vertical="center"/>
    </xf>
    <xf numFmtId="2" fontId="27" fillId="23" borderId="60" xfId="0" applyNumberFormat="1" applyFont="1" applyFill="1" applyBorder="1" applyAlignment="1">
      <alignment horizontal="center" vertical="center"/>
    </xf>
    <xf numFmtId="2" fontId="27" fillId="23" borderId="65" xfId="0" applyNumberFormat="1" applyFont="1" applyFill="1" applyBorder="1" applyAlignment="1">
      <alignment horizontal="center" vertical="center"/>
    </xf>
    <xf numFmtId="170" fontId="60" fillId="23" borderId="57" xfId="83" applyNumberFormat="1" applyFont="1" applyFill="1" applyBorder="1" applyAlignment="1" applyProtection="1">
      <alignment horizontal="center" vertical="center" wrapText="1"/>
    </xf>
    <xf numFmtId="170" fontId="60" fillId="23" borderId="27" xfId="83" applyNumberFormat="1" applyFont="1" applyFill="1" applyBorder="1" applyAlignment="1" applyProtection="1">
      <alignment horizontal="center" vertical="center" wrapText="1"/>
    </xf>
    <xf numFmtId="170" fontId="60" fillId="23" borderId="62" xfId="83" applyNumberFormat="1" applyFont="1" applyFill="1" applyBorder="1" applyAlignment="1" applyProtection="1">
      <alignment horizontal="center" vertical="center" wrapText="1"/>
    </xf>
    <xf numFmtId="0" fontId="27" fillId="23" borderId="55" xfId="0" applyFont="1" applyFill="1" applyBorder="1" applyAlignment="1">
      <alignment horizontal="right" vertical="center"/>
    </xf>
    <xf numFmtId="0" fontId="27" fillId="23" borderId="56" xfId="0" applyFont="1" applyFill="1" applyBorder="1" applyAlignment="1">
      <alignment horizontal="right" vertical="center"/>
    </xf>
    <xf numFmtId="0" fontId="50" fillId="27" borderId="45" xfId="86" applyNumberFormat="1" applyFont="1" applyBorder="1" applyAlignment="1">
      <alignment horizontal="center" vertical="center" wrapText="1"/>
    </xf>
    <xf numFmtId="0" fontId="50" fillId="27" borderId="46" xfId="86" applyNumberFormat="1" applyFont="1" applyBorder="1" applyAlignment="1">
      <alignment horizontal="center" vertical="center" wrapText="1"/>
    </xf>
    <xf numFmtId="0" fontId="50" fillId="27" borderId="50" xfId="86" applyNumberFormat="1" applyFont="1" applyBorder="1" applyAlignment="1">
      <alignment horizontal="center" vertical="center" wrapText="1"/>
    </xf>
    <xf numFmtId="165" fontId="32" fillId="24" borderId="59" xfId="83" applyNumberFormat="1" applyFont="1" applyBorder="1" applyAlignment="1" applyProtection="1">
      <alignment horizontal="center" vertical="center" wrapText="1"/>
    </xf>
    <xf numFmtId="165" fontId="32" fillId="24" borderId="51" xfId="83" applyNumberFormat="1" applyFont="1" applyBorder="1" applyAlignment="1" applyProtection="1">
      <alignment horizontal="center" vertical="center" wrapText="1"/>
    </xf>
    <xf numFmtId="0" fontId="50" fillId="27" borderId="31" xfId="86" applyNumberFormat="1" applyFont="1" applyBorder="1" applyAlignment="1">
      <alignment horizontal="center" vertical="center" wrapText="1"/>
    </xf>
    <xf numFmtId="0" fontId="50" fillId="27" borderId="29" xfId="86" applyNumberFormat="1" applyFont="1" applyBorder="1" applyAlignment="1">
      <alignment horizontal="center" vertical="center" wrapText="1"/>
    </xf>
    <xf numFmtId="0" fontId="50" fillId="27" borderId="74" xfId="86" applyNumberFormat="1" applyFont="1" applyBorder="1" applyAlignment="1">
      <alignment horizontal="center" vertical="center" wrapText="1"/>
    </xf>
    <xf numFmtId="167" fontId="32" fillId="24" borderId="26" xfId="83" applyNumberFormat="1" applyFont="1" applyBorder="1" applyAlignment="1" applyProtection="1">
      <alignment horizontal="center" vertical="center" wrapText="1"/>
    </xf>
    <xf numFmtId="167" fontId="32" fillId="24" borderId="62" xfId="83" applyNumberFormat="1" applyFont="1" applyBorder="1" applyAlignment="1" applyProtection="1">
      <alignment horizontal="center" vertical="center" wrapText="1"/>
    </xf>
    <xf numFmtId="0" fontId="50" fillId="27" borderId="38" xfId="86" applyNumberFormat="1" applyFont="1" applyBorder="1" applyAlignment="1">
      <alignment horizontal="center" vertical="center" wrapText="1"/>
    </xf>
    <xf numFmtId="0" fontId="50" fillId="27" borderId="21" xfId="86" applyNumberFormat="1" applyFont="1" applyBorder="1" applyAlignment="1">
      <alignment horizontal="center" vertical="center" wrapText="1"/>
    </xf>
    <xf numFmtId="0" fontId="50" fillId="27" borderId="39" xfId="86" applyNumberFormat="1" applyFont="1" applyBorder="1" applyAlignment="1">
      <alignment horizontal="center" vertical="center" wrapText="1"/>
    </xf>
    <xf numFmtId="0" fontId="29" fillId="26" borderId="52" xfId="82" applyFill="1" applyBorder="1" applyAlignment="1" applyProtection="1">
      <alignment horizontal="center" vertical="center" wrapText="1"/>
    </xf>
    <xf numFmtId="167" fontId="32" fillId="24" borderId="57" xfId="83" applyNumberFormat="1" applyFont="1" applyBorder="1" applyAlignment="1" applyProtection="1">
      <alignment horizontal="center" vertical="center" wrapText="1"/>
    </xf>
    <xf numFmtId="167" fontId="32" fillId="24" borderId="28" xfId="83" applyNumberFormat="1" applyFont="1" applyBorder="1" applyAlignment="1" applyProtection="1">
      <alignment horizontal="center" vertical="center" wrapText="1"/>
    </xf>
    <xf numFmtId="170" fontId="32" fillId="24" borderId="57" xfId="83" applyNumberFormat="1" applyFont="1" applyBorder="1" applyAlignment="1" applyProtection="1">
      <alignment horizontal="center" vertical="center" wrapText="1"/>
    </xf>
    <xf numFmtId="170" fontId="32" fillId="24" borderId="28" xfId="83" applyNumberFormat="1" applyFont="1" applyBorder="1" applyAlignment="1" applyProtection="1">
      <alignment horizontal="center" vertical="center" wrapText="1"/>
    </xf>
    <xf numFmtId="167" fontId="32" fillId="24" borderId="64" xfId="83" applyNumberFormat="1" applyFont="1" applyBorder="1" applyAlignment="1" applyProtection="1">
      <alignment horizontal="center" vertical="center" wrapText="1"/>
    </xf>
    <xf numFmtId="167" fontId="32" fillId="24" borderId="65" xfId="83" applyNumberFormat="1" applyFont="1" applyBorder="1" applyAlignment="1" applyProtection="1">
      <alignment horizontal="center" vertical="center" wrapText="1"/>
    </xf>
    <xf numFmtId="167" fontId="32" fillId="24" borderId="30" xfId="83" applyNumberFormat="1" applyFont="1" applyBorder="1" applyAlignment="1" applyProtection="1">
      <alignment horizontal="center" vertical="center" wrapText="1"/>
    </xf>
    <xf numFmtId="167" fontId="32" fillId="24" borderId="74" xfId="83" applyNumberFormat="1" applyFont="1" applyBorder="1" applyAlignment="1" applyProtection="1">
      <alignment horizontal="center" vertical="center" wrapText="1"/>
    </xf>
    <xf numFmtId="0" fontId="27" fillId="23" borderId="56" xfId="0" applyFont="1" applyFill="1" applyBorder="1" applyAlignment="1">
      <alignment horizontal="left" vertical="center" wrapText="1"/>
    </xf>
    <xf numFmtId="0" fontId="27" fillId="23" borderId="27" xfId="0" applyFont="1" applyFill="1" applyBorder="1" applyAlignment="1">
      <alignment horizontal="left" vertical="center" wrapText="1"/>
    </xf>
    <xf numFmtId="170" fontId="32" fillId="24" borderId="87" xfId="83" applyNumberFormat="1" applyFont="1" applyBorder="1" applyAlignment="1" applyProtection="1">
      <alignment horizontal="center" vertical="center" wrapText="1"/>
    </xf>
    <xf numFmtId="170" fontId="32" fillId="24" borderId="25" xfId="83" applyNumberFormat="1" applyFont="1" applyBorder="1" applyAlignment="1" applyProtection="1">
      <alignment horizontal="center" vertical="center" wrapText="1"/>
    </xf>
    <xf numFmtId="167" fontId="32" fillId="24" borderId="59" xfId="83" applyNumberFormat="1" applyFont="1" applyBorder="1" applyAlignment="1" applyProtection="1">
      <alignment horizontal="center" vertical="center" wrapText="1"/>
    </xf>
    <xf numFmtId="167" fontId="32" fillId="24" borderId="51" xfId="83" applyNumberFormat="1" applyFont="1" applyBorder="1" applyAlignment="1" applyProtection="1">
      <alignment horizontal="center" vertical="center" wrapText="1"/>
    </xf>
    <xf numFmtId="0" fontId="29" fillId="26" borderId="57" xfId="82" applyFill="1" applyBorder="1" applyAlignment="1" applyProtection="1">
      <alignment horizontal="center" vertical="center" wrapText="1"/>
    </xf>
    <xf numFmtId="0" fontId="29" fillId="26" borderId="28" xfId="82" applyFill="1" applyBorder="1" applyAlignment="1" applyProtection="1">
      <alignment horizontal="center" vertical="center" wrapText="1"/>
    </xf>
    <xf numFmtId="170" fontId="32" fillId="24" borderId="30" xfId="83" applyNumberFormat="1" applyFont="1" applyBorder="1" applyAlignment="1" applyProtection="1">
      <alignment horizontal="center" vertical="center" wrapText="1"/>
    </xf>
    <xf numFmtId="170" fontId="32" fillId="24" borderId="74" xfId="83" applyNumberFormat="1" applyFont="1" applyBorder="1" applyAlignment="1" applyProtection="1">
      <alignment horizontal="center" vertical="center" wrapText="1"/>
    </xf>
    <xf numFmtId="167" fontId="32" fillId="24" borderId="18" xfId="83" applyNumberFormat="1" applyFont="1" applyBorder="1" applyAlignment="1" applyProtection="1">
      <alignment horizontal="center" vertical="center" wrapText="1"/>
    </xf>
    <xf numFmtId="167" fontId="32" fillId="24" borderId="34" xfId="83" applyNumberFormat="1" applyFont="1" applyBorder="1" applyAlignment="1" applyProtection="1">
      <alignment horizontal="center" vertical="center" wrapText="1"/>
    </xf>
    <xf numFmtId="0" fontId="29" fillId="26" borderId="54" xfId="82" applyFill="1" applyBorder="1" applyAlignment="1" applyProtection="1">
      <alignment horizontal="center" vertical="center" wrapText="1"/>
    </xf>
    <xf numFmtId="170" fontId="32" fillId="24" borderId="33" xfId="83" applyNumberFormat="1" applyFont="1" applyBorder="1" applyAlignment="1" applyProtection="1">
      <alignment horizontal="center" vertical="center" wrapText="1"/>
    </xf>
    <xf numFmtId="170" fontId="32" fillId="24" borderId="20" xfId="83" applyNumberFormat="1" applyFont="1" applyBorder="1" applyAlignment="1" applyProtection="1">
      <alignment horizontal="center" vertical="center" wrapText="1"/>
    </xf>
    <xf numFmtId="170" fontId="32" fillId="24" borderId="31" xfId="83" applyNumberFormat="1" applyFont="1" applyBorder="1" applyAlignment="1" applyProtection="1">
      <alignment horizontal="center" vertical="center" wrapText="1"/>
    </xf>
    <xf numFmtId="170" fontId="32" fillId="24" borderId="32" xfId="83" applyNumberFormat="1" applyFont="1" applyBorder="1" applyAlignment="1" applyProtection="1">
      <alignment horizontal="center" vertical="center" wrapText="1"/>
    </xf>
    <xf numFmtId="0" fontId="29" fillId="26" borderId="55" xfId="82" applyFill="1" applyBorder="1" applyAlignment="1" applyProtection="1">
      <alignment horizontal="center" vertical="center" wrapText="1"/>
    </xf>
    <xf numFmtId="0" fontId="29" fillId="26" borderId="56" xfId="82" applyFill="1" applyBorder="1" applyAlignment="1" applyProtection="1">
      <alignment horizontal="center" vertical="center" wrapText="1"/>
    </xf>
    <xf numFmtId="0" fontId="29" fillId="26" borderId="61" xfId="82" applyFill="1" applyBorder="1" applyAlignment="1" applyProtection="1">
      <alignment horizontal="center" vertical="center" wrapText="1"/>
    </xf>
    <xf numFmtId="0" fontId="29" fillId="26" borderId="69" xfId="82" applyFill="1" applyBorder="1" applyAlignment="1" applyProtection="1">
      <alignment horizontal="center" vertical="center" wrapText="1"/>
    </xf>
    <xf numFmtId="0" fontId="29" fillId="26" borderId="79" xfId="82" applyFill="1" applyBorder="1" applyAlignment="1" applyProtection="1">
      <alignment horizontal="center" vertical="center" wrapText="1"/>
    </xf>
    <xf numFmtId="0" fontId="29" fillId="26" borderId="73" xfId="82" applyFill="1" applyBorder="1" applyAlignment="1" applyProtection="1">
      <alignment horizontal="center" vertical="center" wrapText="1"/>
    </xf>
    <xf numFmtId="167" fontId="32" fillId="24" borderId="33" xfId="83" applyNumberFormat="1" applyFont="1" applyBorder="1" applyAlignment="1" applyProtection="1">
      <alignment horizontal="center" vertical="center" wrapText="1"/>
    </xf>
    <xf numFmtId="167" fontId="32" fillId="24" borderId="20" xfId="83" applyNumberFormat="1" applyFont="1" applyBorder="1" applyAlignment="1" applyProtection="1">
      <alignment horizontal="center" vertical="center" wrapText="1"/>
    </xf>
    <xf numFmtId="0" fontId="29" fillId="26" borderId="62" xfId="82" applyFill="1" applyBorder="1" applyAlignment="1" applyProtection="1">
      <alignment horizontal="center" vertical="center" wrapText="1"/>
    </xf>
    <xf numFmtId="165" fontId="32" fillId="24" borderId="58" xfId="83" applyNumberFormat="1" applyFont="1" applyBorder="1" applyAlignment="1" applyProtection="1">
      <alignment horizontal="center" vertical="center" wrapText="1"/>
    </xf>
    <xf numFmtId="165" fontId="32" fillId="24" borderId="54" xfId="83" applyNumberFormat="1" applyFont="1" applyBorder="1" applyAlignment="1" applyProtection="1">
      <alignment horizontal="center" vertical="center" wrapText="1"/>
    </xf>
    <xf numFmtId="167" fontId="32" fillId="24" borderId="52" xfId="83" applyNumberFormat="1" applyFont="1" applyBorder="1" applyAlignment="1" applyProtection="1">
      <alignment horizontal="center" vertical="center" wrapText="1"/>
    </xf>
    <xf numFmtId="167" fontId="32" fillId="24" borderId="78" xfId="83" applyNumberFormat="1" applyFont="1" applyBorder="1" applyAlignment="1" applyProtection="1">
      <alignment horizontal="center" vertical="center" wrapText="1"/>
    </xf>
    <xf numFmtId="165" fontId="32" fillId="24" borderId="18" xfId="83" applyNumberFormat="1" applyFont="1" applyBorder="1" applyAlignment="1" applyProtection="1">
      <alignment horizontal="center" vertical="center" wrapText="1"/>
    </xf>
    <xf numFmtId="165" fontId="32" fillId="24" borderId="34" xfId="83" applyNumberFormat="1" applyFont="1" applyBorder="1" applyAlignment="1" applyProtection="1">
      <alignment horizontal="center" vertical="center" wrapText="1"/>
    </xf>
    <xf numFmtId="0" fontId="29" fillId="26" borderId="35" xfId="82" applyFill="1" applyBorder="1" applyAlignment="1" applyProtection="1">
      <alignment horizontal="center" vertical="center" wrapText="1"/>
    </xf>
    <xf numFmtId="0" fontId="29" fillId="26" borderId="36" xfId="82" applyFill="1" applyBorder="1" applyAlignment="1" applyProtection="1">
      <alignment horizontal="center" vertical="center" wrapText="1"/>
    </xf>
    <xf numFmtId="0" fontId="29" fillId="26" borderId="37" xfId="82" applyFill="1" applyBorder="1" applyAlignment="1" applyProtection="1">
      <alignment horizontal="center" vertical="center" wrapText="1"/>
    </xf>
    <xf numFmtId="0" fontId="27" fillId="23" borderId="55" xfId="0" applyFont="1" applyFill="1" applyBorder="1" applyAlignment="1">
      <alignment horizontal="center" vertical="center"/>
    </xf>
    <xf numFmtId="0" fontId="27" fillId="23" borderId="56" xfId="0" applyFont="1" applyFill="1" applyBorder="1" applyAlignment="1">
      <alignment horizontal="center" vertical="center"/>
    </xf>
    <xf numFmtId="0" fontId="27" fillId="23" borderId="61" xfId="0" applyFont="1" applyFill="1" applyBorder="1" applyAlignment="1">
      <alignment horizontal="center" vertical="center"/>
    </xf>
    <xf numFmtId="0" fontId="27" fillId="23" borderId="59" xfId="0" applyFont="1" applyFill="1" applyBorder="1" applyAlignment="1">
      <alignment horizontal="center" vertical="center"/>
    </xf>
    <xf numFmtId="0" fontId="27" fillId="23" borderId="60" xfId="0" applyFont="1" applyFill="1" applyBorder="1" applyAlignment="1">
      <alignment horizontal="center" vertical="center"/>
    </xf>
    <xf numFmtId="0" fontId="27" fillId="23" borderId="65" xfId="0" applyFont="1" applyFill="1" applyBorder="1" applyAlignment="1">
      <alignment horizontal="center" vertical="center"/>
    </xf>
    <xf numFmtId="170" fontId="32" fillId="24" borderId="26" xfId="83" applyNumberFormat="1" applyFont="1" applyBorder="1" applyAlignment="1" applyProtection="1">
      <alignment horizontal="center" vertical="center" wrapText="1"/>
    </xf>
    <xf numFmtId="170" fontId="32" fillId="24" borderId="62" xfId="83" applyNumberFormat="1" applyFont="1" applyBorder="1" applyAlignment="1" applyProtection="1">
      <alignment horizontal="center" vertical="center" wrapText="1"/>
    </xf>
    <xf numFmtId="0" fontId="0" fillId="23" borderId="57" xfId="0" applyFill="1" applyBorder="1" applyAlignment="1">
      <alignment vertical="center" wrapText="1"/>
    </xf>
    <xf numFmtId="0" fontId="0" fillId="23" borderId="27" xfId="0" applyFill="1" applyBorder="1" applyAlignment="1">
      <alignment vertical="center" wrapText="1"/>
    </xf>
    <xf numFmtId="0" fontId="0" fillId="23" borderId="18" xfId="0" applyFill="1" applyBorder="1" applyAlignment="1">
      <alignment horizontal="left" vertical="center" wrapText="1"/>
    </xf>
    <xf numFmtId="0" fontId="0" fillId="23" borderId="0" xfId="0" applyFill="1" applyAlignment="1">
      <alignment horizontal="left" vertical="center" wrapText="1"/>
    </xf>
    <xf numFmtId="0" fontId="0" fillId="23" borderId="62" xfId="0" applyFill="1" applyBorder="1" applyAlignment="1">
      <alignment vertical="center" wrapText="1"/>
    </xf>
    <xf numFmtId="167" fontId="32" fillId="24" borderId="31" xfId="83" applyNumberFormat="1" applyFont="1" applyBorder="1" applyAlignment="1" applyProtection="1">
      <alignment horizontal="center" vertical="center" wrapText="1"/>
    </xf>
    <xf numFmtId="167" fontId="32" fillId="24" borderId="32" xfId="83" applyNumberFormat="1" applyFont="1" applyBorder="1" applyAlignment="1" applyProtection="1">
      <alignment horizontal="center" vertical="center" wrapText="1"/>
    </xf>
    <xf numFmtId="167" fontId="32" fillId="24" borderId="58" xfId="83" applyNumberFormat="1" applyFont="1" applyBorder="1" applyAlignment="1" applyProtection="1">
      <alignment horizontal="center" vertical="center" wrapText="1"/>
    </xf>
    <xf numFmtId="167" fontId="32" fillId="24" borderId="54" xfId="83" applyNumberFormat="1" applyFont="1" applyBorder="1" applyAlignment="1" applyProtection="1">
      <alignment horizontal="center" vertical="center" wrapText="1"/>
    </xf>
    <xf numFmtId="1" fontId="32" fillId="24" borderId="33" xfId="83" applyNumberFormat="1" applyFont="1" applyBorder="1" applyAlignment="1" applyProtection="1">
      <alignment horizontal="center" vertical="center" wrapText="1"/>
    </xf>
    <xf numFmtId="1" fontId="32" fillId="24" borderId="20" xfId="83" applyNumberFormat="1" applyFont="1" applyBorder="1" applyAlignment="1" applyProtection="1">
      <alignment horizontal="center" vertical="center" wrapText="1"/>
    </xf>
    <xf numFmtId="170" fontId="32" fillId="24" borderId="59" xfId="83" applyNumberFormat="1" applyFont="1" applyBorder="1" applyAlignment="1" applyProtection="1">
      <alignment horizontal="center" vertical="center" wrapText="1"/>
    </xf>
    <xf numFmtId="170" fontId="32" fillId="24" borderId="51" xfId="83" applyNumberFormat="1" applyFont="1" applyBorder="1" applyAlignment="1" applyProtection="1">
      <alignment horizontal="center" vertical="center" wrapText="1"/>
    </xf>
    <xf numFmtId="170" fontId="32" fillId="24" borderId="64" xfId="83" applyNumberFormat="1" applyFont="1" applyBorder="1" applyAlignment="1" applyProtection="1">
      <alignment horizontal="center" vertical="center" wrapText="1"/>
    </xf>
    <xf numFmtId="170" fontId="32" fillId="24" borderId="65" xfId="83" applyNumberFormat="1" applyFont="1" applyBorder="1" applyAlignment="1" applyProtection="1">
      <alignment horizontal="center" vertical="center" wrapText="1"/>
    </xf>
    <xf numFmtId="170" fontId="32" fillId="24" borderId="18" xfId="83" applyNumberFormat="1" applyFont="1" applyBorder="1" applyAlignment="1" applyProtection="1">
      <alignment horizontal="center" vertical="center" wrapText="1"/>
    </xf>
    <xf numFmtId="170" fontId="32" fillId="24" borderId="34" xfId="83" applyNumberFormat="1" applyFont="1" applyBorder="1" applyAlignment="1" applyProtection="1">
      <alignment horizontal="center" vertical="center" wrapText="1"/>
    </xf>
    <xf numFmtId="170" fontId="32" fillId="24" borderId="52" xfId="83" applyNumberFormat="1" applyFont="1" applyBorder="1" applyAlignment="1" applyProtection="1">
      <alignment horizontal="center" vertical="center" wrapText="1"/>
    </xf>
    <xf numFmtId="170" fontId="32" fillId="24" borderId="78" xfId="83" applyNumberFormat="1" applyFont="1" applyBorder="1" applyAlignment="1" applyProtection="1">
      <alignment horizontal="center" vertical="center" wrapText="1"/>
    </xf>
    <xf numFmtId="170" fontId="32" fillId="24" borderId="58" xfId="83" applyNumberFormat="1" applyFont="1" applyBorder="1" applyAlignment="1" applyProtection="1">
      <alignment horizontal="center" vertical="center" wrapText="1"/>
    </xf>
    <xf numFmtId="170" fontId="32" fillId="24" borderId="54" xfId="83" applyNumberFormat="1" applyFont="1" applyBorder="1" applyAlignment="1" applyProtection="1">
      <alignment horizontal="center" vertical="center" wrapText="1"/>
    </xf>
    <xf numFmtId="165" fontId="32" fillId="24" borderId="57" xfId="83" applyNumberFormat="1" applyFont="1" applyBorder="1" applyAlignment="1" applyProtection="1">
      <alignment horizontal="center" vertical="center" wrapText="1"/>
    </xf>
    <xf numFmtId="165" fontId="32" fillId="24" borderId="28" xfId="83" applyNumberFormat="1" applyFont="1" applyBorder="1" applyAlignment="1" applyProtection="1">
      <alignment horizontal="center" vertical="center" wrapText="1"/>
    </xf>
    <xf numFmtId="0" fontId="50" fillId="27" borderId="18" xfId="86" applyNumberFormat="1" applyFont="1" applyBorder="1" applyAlignment="1">
      <alignment horizontal="center" vertical="center" wrapText="1"/>
    </xf>
    <xf numFmtId="0" fontId="50" fillId="27" borderId="0" xfId="86" applyNumberFormat="1" applyFont="1" applyBorder="1" applyAlignment="1">
      <alignment horizontal="center" vertical="center" wrapText="1"/>
    </xf>
    <xf numFmtId="0" fontId="50" fillId="27" borderId="20" xfId="86" applyNumberFormat="1" applyFont="1" applyBorder="1" applyAlignment="1">
      <alignment horizontal="center" vertical="center" wrapText="1"/>
    </xf>
    <xf numFmtId="0" fontId="50" fillId="27" borderId="23" xfId="86" applyNumberFormat="1" applyFont="1" applyBorder="1" applyAlignment="1">
      <alignment horizontal="center" vertical="center" wrapText="1"/>
    </xf>
    <xf numFmtId="0" fontId="50" fillId="27" borderId="24" xfId="86" applyNumberFormat="1" applyFont="1" applyBorder="1" applyAlignment="1">
      <alignment horizontal="center" vertical="center" wrapText="1"/>
    </xf>
    <xf numFmtId="0" fontId="50" fillId="27" borderId="25" xfId="86" applyNumberFormat="1" applyFont="1" applyBorder="1" applyAlignment="1">
      <alignment horizontal="center" vertical="center" wrapText="1"/>
    </xf>
    <xf numFmtId="0" fontId="50" fillId="27" borderId="58" xfId="86" applyNumberFormat="1" applyFont="1" applyBorder="1" applyAlignment="1">
      <alignment horizontal="center" vertical="center" wrapText="1"/>
    </xf>
    <xf numFmtId="0" fontId="50" fillId="27" borderId="53" xfId="86" applyNumberFormat="1" applyFont="1" applyBorder="1" applyAlignment="1">
      <alignment horizontal="center" vertical="center" wrapText="1"/>
    </xf>
    <xf numFmtId="0" fontId="50" fillId="27" borderId="78" xfId="86" applyNumberFormat="1" applyFont="1" applyBorder="1" applyAlignment="1">
      <alignment horizontal="center" vertical="center" wrapText="1"/>
    </xf>
    <xf numFmtId="170" fontId="33" fillId="24" borderId="31" xfId="83" applyNumberFormat="1" applyFont="1" applyBorder="1" applyAlignment="1" applyProtection="1">
      <alignment horizontal="center" wrapText="1"/>
    </xf>
    <xf numFmtId="170" fontId="33" fillId="24" borderId="29" xfId="83" applyNumberFormat="1" applyFont="1" applyBorder="1" applyAlignment="1" applyProtection="1">
      <alignment horizontal="center" wrapText="1"/>
    </xf>
    <xf numFmtId="170" fontId="33" fillId="24" borderId="74" xfId="83" applyNumberFormat="1" applyFont="1" applyBorder="1" applyAlignment="1" applyProtection="1">
      <alignment horizontal="center" wrapText="1"/>
    </xf>
    <xf numFmtId="170" fontId="33" fillId="24" borderId="58" xfId="83" applyNumberFormat="1" applyFont="1" applyBorder="1" applyAlignment="1" applyProtection="1">
      <alignment horizontal="center" wrapText="1"/>
    </xf>
    <xf numFmtId="170" fontId="33" fillId="24" borderId="53" xfId="83" applyNumberFormat="1" applyFont="1" applyBorder="1" applyAlignment="1" applyProtection="1">
      <alignment horizontal="center" wrapText="1"/>
    </xf>
    <xf numFmtId="170" fontId="33" fillId="24" borderId="78" xfId="83" applyNumberFormat="1" applyFont="1" applyBorder="1" applyAlignment="1" applyProtection="1">
      <alignment horizontal="center" wrapText="1"/>
    </xf>
    <xf numFmtId="170" fontId="32" fillId="24" borderId="46" xfId="83" applyNumberFormat="1" applyFont="1" applyBorder="1" applyAlignment="1" applyProtection="1">
      <alignment horizontal="center" vertical="center" wrapText="1"/>
    </xf>
    <xf numFmtId="170" fontId="32" fillId="24" borderId="50" xfId="83" applyNumberFormat="1" applyFont="1" applyBorder="1" applyAlignment="1" applyProtection="1">
      <alignment horizontal="center" vertical="center" wrapText="1"/>
    </xf>
    <xf numFmtId="170" fontId="32" fillId="24" borderId="45" xfId="83" applyNumberFormat="1" applyFont="1" applyBorder="1" applyAlignment="1" applyProtection="1">
      <alignment horizontal="center" vertical="center" wrapText="1"/>
    </xf>
    <xf numFmtId="170" fontId="32" fillId="24" borderId="38" xfId="83" applyNumberFormat="1" applyFont="1" applyBorder="1" applyAlignment="1" applyProtection="1">
      <alignment horizontal="center" vertical="center" wrapText="1"/>
    </xf>
    <xf numFmtId="170" fontId="32" fillId="24" borderId="21" xfId="83" applyNumberFormat="1" applyFont="1" applyBorder="1" applyAlignment="1" applyProtection="1">
      <alignment horizontal="center" vertical="center" wrapText="1"/>
    </xf>
    <xf numFmtId="170" fontId="32" fillId="24" borderId="39" xfId="83" applyNumberFormat="1" applyFont="1" applyBorder="1" applyAlignment="1" applyProtection="1">
      <alignment horizontal="center" vertical="center" wrapText="1"/>
    </xf>
    <xf numFmtId="167" fontId="32" fillId="24" borderId="21" xfId="83" applyNumberFormat="1" applyFont="1" applyBorder="1" applyAlignment="1" applyProtection="1">
      <alignment horizontal="center" vertical="center" wrapText="1"/>
    </xf>
    <xf numFmtId="167" fontId="32" fillId="24" borderId="39" xfId="83" applyNumberFormat="1" applyFont="1" applyBorder="1" applyAlignment="1" applyProtection="1">
      <alignment horizontal="center" vertical="center" wrapText="1"/>
    </xf>
    <xf numFmtId="167" fontId="32" fillId="24" borderId="38" xfId="83" applyNumberFormat="1" applyFont="1" applyBorder="1" applyAlignment="1" applyProtection="1">
      <alignment horizontal="center" vertical="center" wrapText="1"/>
    </xf>
    <xf numFmtId="0" fontId="29" fillId="26" borderId="43" xfId="82" applyFill="1" applyBorder="1" applyAlignment="1" applyProtection="1">
      <alignment horizontal="center" vertical="center"/>
    </xf>
    <xf numFmtId="0" fontId="29" fillId="26" borderId="72" xfId="82" applyFill="1" applyBorder="1" applyAlignment="1" applyProtection="1">
      <alignment horizontal="center" vertical="center"/>
    </xf>
    <xf numFmtId="0" fontId="29" fillId="26" borderId="77" xfId="82" applyFill="1" applyBorder="1" applyAlignment="1" applyProtection="1">
      <alignment horizontal="center" vertical="center"/>
    </xf>
    <xf numFmtId="0" fontId="35" fillId="24" borderId="38" xfId="82" applyFont="1" applyBorder="1" applyAlignment="1" applyProtection="1">
      <alignment horizontal="center" vertical="center" wrapText="1"/>
    </xf>
    <xf numFmtId="0" fontId="35" fillId="24" borderId="21" xfId="82" applyFont="1" applyBorder="1" applyAlignment="1" applyProtection="1">
      <alignment horizontal="center" vertical="center" wrapText="1"/>
    </xf>
    <xf numFmtId="0" fontId="35" fillId="24" borderId="39" xfId="82" applyFont="1" applyBorder="1" applyAlignment="1" applyProtection="1">
      <alignment horizontal="center" vertical="center" wrapText="1"/>
    </xf>
    <xf numFmtId="0" fontId="29" fillId="26" borderId="15" xfId="82" applyFill="1" applyBorder="1" applyAlignment="1" applyProtection="1">
      <alignment horizontal="center" vertical="center"/>
    </xf>
    <xf numFmtId="0" fontId="29" fillId="26" borderId="16" xfId="82" applyFill="1" applyBorder="1" applyAlignment="1" applyProtection="1">
      <alignment horizontal="center" vertical="center"/>
    </xf>
    <xf numFmtId="0" fontId="29" fillId="26" borderId="17" xfId="82" applyFill="1" applyBorder="1" applyAlignment="1" applyProtection="1">
      <alignment horizontal="center" vertical="center"/>
    </xf>
    <xf numFmtId="0" fontId="29" fillId="26" borderId="58" xfId="82" applyFill="1" applyBorder="1" applyAlignment="1" applyProtection="1">
      <alignment horizontal="center" vertical="center"/>
    </xf>
    <xf numFmtId="0" fontId="29" fillId="26" borderId="53" xfId="82" applyFill="1" applyBorder="1" applyAlignment="1" applyProtection="1">
      <alignment horizontal="center" vertical="center"/>
    </xf>
    <xf numFmtId="0" fontId="29" fillId="26" borderId="78" xfId="82" applyFill="1" applyBorder="1" applyAlignment="1" applyProtection="1">
      <alignment horizontal="center" vertical="center"/>
    </xf>
    <xf numFmtId="167" fontId="33" fillId="24" borderId="31" xfId="83" applyNumberFormat="1" applyFont="1" applyBorder="1" applyAlignment="1" applyProtection="1">
      <alignment horizontal="center" wrapText="1"/>
    </xf>
    <xf numFmtId="167" fontId="33" fillId="24" borderId="29" xfId="83" applyNumberFormat="1" applyFont="1" applyBorder="1" applyAlignment="1" applyProtection="1">
      <alignment horizontal="center" wrapText="1"/>
    </xf>
    <xf numFmtId="167" fontId="33" fillId="24" borderId="74" xfId="83" applyNumberFormat="1" applyFont="1" applyBorder="1" applyAlignment="1" applyProtection="1">
      <alignment horizontal="center" wrapText="1"/>
    </xf>
    <xf numFmtId="167" fontId="33" fillId="24" borderId="58" xfId="83" applyNumberFormat="1" applyFont="1" applyBorder="1" applyAlignment="1" applyProtection="1">
      <alignment horizontal="center" wrapText="1"/>
    </xf>
    <xf numFmtId="167" fontId="33" fillId="24" borderId="53" xfId="83" applyNumberFormat="1" applyFont="1" applyBorder="1" applyAlignment="1" applyProtection="1">
      <alignment horizontal="center" wrapText="1"/>
    </xf>
    <xf numFmtId="167" fontId="33" fillId="24" borderId="78" xfId="83" applyNumberFormat="1" applyFont="1" applyBorder="1" applyAlignment="1" applyProtection="1">
      <alignment horizontal="center" wrapText="1"/>
    </xf>
    <xf numFmtId="0" fontId="35" fillId="24" borderId="45" xfId="82" applyFont="1" applyBorder="1" applyAlignment="1" applyProtection="1">
      <alignment horizontal="center" vertical="center" wrapText="1"/>
    </xf>
    <xf numFmtId="0" fontId="35" fillId="24" borderId="46" xfId="82" applyFont="1" applyBorder="1" applyAlignment="1" applyProtection="1">
      <alignment horizontal="center" vertical="center" wrapText="1"/>
    </xf>
    <xf numFmtId="0" fontId="35" fillId="24" borderId="50" xfId="82" applyFont="1" applyBorder="1" applyAlignment="1" applyProtection="1">
      <alignment horizontal="center" vertical="center" wrapText="1"/>
    </xf>
    <xf numFmtId="0" fontId="0" fillId="23" borderId="58" xfId="0" applyFill="1" applyBorder="1" applyAlignment="1">
      <alignment vertical="center" wrapText="1"/>
    </xf>
    <xf numFmtId="0" fontId="0" fillId="23" borderId="78" xfId="0" applyFill="1" applyBorder="1" applyAlignment="1">
      <alignment vertical="center" wrapText="1"/>
    </xf>
    <xf numFmtId="0" fontId="0" fillId="23" borderId="23" xfId="0" applyFill="1" applyBorder="1" applyAlignment="1">
      <alignment horizontal="left" vertical="center" wrapText="1"/>
    </xf>
    <xf numFmtId="10" fontId="0" fillId="23" borderId="27" xfId="0" applyNumberFormat="1" applyFill="1" applyBorder="1" applyAlignment="1">
      <alignment vertical="center"/>
    </xf>
    <xf numFmtId="0" fontId="0" fillId="23" borderId="27" xfId="0" applyFill="1" applyBorder="1" applyAlignment="1">
      <alignment vertical="center"/>
    </xf>
    <xf numFmtId="0" fontId="27" fillId="23" borderId="0" xfId="0" applyFont="1" applyFill="1" applyAlignment="1">
      <alignment horizontal="right" vertical="center"/>
    </xf>
    <xf numFmtId="0" fontId="0" fillId="23" borderId="18" xfId="0" applyFill="1" applyBorder="1" applyAlignment="1">
      <alignment vertical="center" wrapText="1"/>
    </xf>
    <xf numFmtId="0" fontId="0" fillId="23" borderId="0" xfId="0" applyFill="1" applyAlignment="1">
      <alignment vertical="center"/>
    </xf>
    <xf numFmtId="0" fontId="0" fillId="23" borderId="57" xfId="0" applyFill="1" applyBorder="1" applyAlignment="1">
      <alignment horizontal="left" vertical="center" wrapText="1"/>
    </xf>
    <xf numFmtId="0" fontId="0" fillId="23" borderId="57" xfId="0" applyFill="1" applyBorder="1" applyAlignment="1">
      <alignment horizontal="left" vertical="center"/>
    </xf>
    <xf numFmtId="0" fontId="0" fillId="0" borderId="0" xfId="0" applyAlignment="1"/>
  </cellXfs>
  <cellStyles count="87">
    <cellStyle name="20% - Accent1 2" xfId="1" xr:uid="{00000000-0005-0000-0000-000006000000}"/>
    <cellStyle name="20% - Accent1 2 2" xfId="2" xr:uid="{00000000-0005-0000-0000-000007000000}"/>
    <cellStyle name="20% - Accent1 2 3" xfId="3" xr:uid="{00000000-0005-0000-0000-000008000000}"/>
    <cellStyle name="20% - Accent2 2" xfId="4" xr:uid="{00000000-0005-0000-0000-000009000000}"/>
    <cellStyle name="20% - Accent2 2 2" xfId="5" xr:uid="{00000000-0005-0000-0000-00000A000000}"/>
    <cellStyle name="20% - Accent2 2 3" xfId="6" xr:uid="{00000000-0005-0000-0000-00000B000000}"/>
    <cellStyle name="20% - Accent3 2" xfId="7" xr:uid="{00000000-0005-0000-0000-00000C000000}"/>
    <cellStyle name="20% - Accent3 2 2" xfId="8" xr:uid="{00000000-0005-0000-0000-00000D000000}"/>
    <cellStyle name="20% - Accent3 2 3" xfId="9" xr:uid="{00000000-0005-0000-0000-00000E000000}"/>
    <cellStyle name="20% - Accent4 2" xfId="10" xr:uid="{00000000-0005-0000-0000-00000F000000}"/>
    <cellStyle name="20% - Accent4 2 2" xfId="11" xr:uid="{00000000-0005-0000-0000-000010000000}"/>
    <cellStyle name="20% - Accent4 2 3" xfId="12" xr:uid="{00000000-0005-0000-0000-000011000000}"/>
    <cellStyle name="20% - Accent5 2" xfId="13" xr:uid="{00000000-0005-0000-0000-000012000000}"/>
    <cellStyle name="20% - Accent5 2 2" xfId="14" xr:uid="{00000000-0005-0000-0000-000013000000}"/>
    <cellStyle name="20% - Accent5 2 3" xfId="15" xr:uid="{00000000-0005-0000-0000-000014000000}"/>
    <cellStyle name="20% - Accent6 2" xfId="16" xr:uid="{00000000-0005-0000-0000-000015000000}"/>
    <cellStyle name="20% - Accent6 2 2" xfId="17" xr:uid="{00000000-0005-0000-0000-000016000000}"/>
    <cellStyle name="20% - Accent6 2 3" xfId="18" xr:uid="{00000000-0005-0000-0000-000017000000}"/>
    <cellStyle name="40% - Accent1 2" xfId="19" xr:uid="{00000000-0005-0000-0000-000018000000}"/>
    <cellStyle name="40% - Accent1 2 2" xfId="20" xr:uid="{00000000-0005-0000-0000-000019000000}"/>
    <cellStyle name="40% - Accent1 2 3" xfId="21" xr:uid="{00000000-0005-0000-0000-00001A000000}"/>
    <cellStyle name="40% - Accent2 2" xfId="22" xr:uid="{00000000-0005-0000-0000-00001B000000}"/>
    <cellStyle name="40% - Accent2 2 2" xfId="23" xr:uid="{00000000-0005-0000-0000-00001C000000}"/>
    <cellStyle name="40% - Accent2 2 3" xfId="24" xr:uid="{00000000-0005-0000-0000-00001D000000}"/>
    <cellStyle name="40% - Accent3 2" xfId="25" xr:uid="{00000000-0005-0000-0000-00001E000000}"/>
    <cellStyle name="40% - Accent3 2 2" xfId="26" xr:uid="{00000000-0005-0000-0000-00001F000000}"/>
    <cellStyle name="40% - Accent3 2 3" xfId="27" xr:uid="{00000000-0005-0000-0000-000020000000}"/>
    <cellStyle name="40% - Accent4 2" xfId="28" xr:uid="{00000000-0005-0000-0000-000021000000}"/>
    <cellStyle name="40% - Accent4 2 2" xfId="29" xr:uid="{00000000-0005-0000-0000-000022000000}"/>
    <cellStyle name="40% - Accent4 2 3" xfId="30" xr:uid="{00000000-0005-0000-0000-000023000000}"/>
    <cellStyle name="40% - Accent5 2" xfId="31" xr:uid="{00000000-0005-0000-0000-000024000000}"/>
    <cellStyle name="40% - Accent5 2 2" xfId="32" xr:uid="{00000000-0005-0000-0000-000025000000}"/>
    <cellStyle name="40% - Accent5 2 3" xfId="33" xr:uid="{00000000-0005-0000-0000-000026000000}"/>
    <cellStyle name="40% - Accent6 2" xfId="34" xr:uid="{00000000-0005-0000-0000-000027000000}"/>
    <cellStyle name="40% - Accent6 2 2" xfId="35" xr:uid="{00000000-0005-0000-0000-000028000000}"/>
    <cellStyle name="40% - Accent6 2 3" xfId="36" xr:uid="{00000000-0005-0000-0000-000029000000}"/>
    <cellStyle name="60% - Accent1 2" xfId="37" xr:uid="{00000000-0005-0000-0000-00002A000000}"/>
    <cellStyle name="60% - Accent2 2" xfId="38" xr:uid="{00000000-0005-0000-0000-00002B000000}"/>
    <cellStyle name="60% - Accent3 2" xfId="39" xr:uid="{00000000-0005-0000-0000-00002C000000}"/>
    <cellStyle name="60% - Accent4 2" xfId="40" xr:uid="{00000000-0005-0000-0000-00002D000000}"/>
    <cellStyle name="60% - Accent5 2" xfId="41" xr:uid="{00000000-0005-0000-0000-00002E000000}"/>
    <cellStyle name="60% - Accent6 2" xfId="42" xr:uid="{00000000-0005-0000-0000-00002F000000}"/>
    <cellStyle name="Accent1 2" xfId="43" xr:uid="{00000000-0005-0000-0000-000030000000}"/>
    <cellStyle name="Accent2 2" xfId="44" xr:uid="{00000000-0005-0000-0000-000031000000}"/>
    <cellStyle name="Accent3 2" xfId="45" xr:uid="{00000000-0005-0000-0000-000032000000}"/>
    <cellStyle name="Accent4 2" xfId="46" xr:uid="{00000000-0005-0000-0000-000033000000}"/>
    <cellStyle name="Accent5 2" xfId="47" xr:uid="{00000000-0005-0000-0000-000034000000}"/>
    <cellStyle name="Accent6 2" xfId="48" xr:uid="{00000000-0005-0000-0000-000035000000}"/>
    <cellStyle name="Bad 2" xfId="49" xr:uid="{00000000-0005-0000-0000-000036000000}"/>
    <cellStyle name="Calculation 2" xfId="50" xr:uid="{00000000-0005-0000-0000-000037000000}"/>
    <cellStyle name="Check Cell 2" xfId="51" xr:uid="{00000000-0005-0000-0000-000038000000}"/>
    <cellStyle name="Euro" xfId="52" xr:uid="{00000000-0005-0000-0000-000039000000}"/>
    <cellStyle name="Euro 2" xfId="53" xr:uid="{00000000-0005-0000-0000-00003A000000}"/>
    <cellStyle name="Excel Built-in Calculation" xfId="83" xr:uid="{00000000-0005-0000-0000-000058000000}"/>
    <cellStyle name="Excel Built-in Explanatory Text" xfId="84" xr:uid="{00000000-0005-0000-0000-000059000000}"/>
    <cellStyle name="Excel Built-in Input" xfId="81" xr:uid="{00000000-0005-0000-0000-000056000000}"/>
    <cellStyle name="Excel Built-in Output" xfId="82" xr:uid="{00000000-0005-0000-0000-000057000000}"/>
    <cellStyle name="Explanatory Text 2" xfId="54" xr:uid="{00000000-0005-0000-0000-00003B000000}"/>
    <cellStyle name="Good 2" xfId="55" xr:uid="{00000000-0005-0000-0000-00003C000000}"/>
    <cellStyle name="Heading 1 2" xfId="56" xr:uid="{00000000-0005-0000-0000-00003D000000}"/>
    <cellStyle name="Heading 2 2" xfId="57" xr:uid="{00000000-0005-0000-0000-00003E000000}"/>
    <cellStyle name="Heading 3 2" xfId="58" xr:uid="{00000000-0005-0000-0000-00003F000000}"/>
    <cellStyle name="Heading 4 2" xfId="59" xr:uid="{00000000-0005-0000-0000-000040000000}"/>
    <cellStyle name="Input 2" xfId="60" xr:uid="{00000000-0005-0000-0000-000041000000}"/>
    <cellStyle name="Linked Cell 2" xfId="61" xr:uid="{00000000-0005-0000-0000-000042000000}"/>
    <cellStyle name="Neutral 2" xfId="62" xr:uid="{00000000-0005-0000-0000-000043000000}"/>
    <cellStyle name="Normal" xfId="0" builtinId="0"/>
    <cellStyle name="Normal 2" xfId="63" xr:uid="{00000000-0005-0000-0000-000044000000}"/>
    <cellStyle name="Normal 2 2" xfId="64" xr:uid="{00000000-0005-0000-0000-000045000000}"/>
    <cellStyle name="Normal 2 2 2" xfId="65" xr:uid="{00000000-0005-0000-0000-000046000000}"/>
    <cellStyle name="Normal 2 2 3" xfId="66" xr:uid="{00000000-0005-0000-0000-000047000000}"/>
    <cellStyle name="Normal 2 3" xfId="67" xr:uid="{00000000-0005-0000-0000-000048000000}"/>
    <cellStyle name="Normal 3" xfId="68" xr:uid="{00000000-0005-0000-0000-000049000000}"/>
    <cellStyle name="Normal 3 2" xfId="69" xr:uid="{00000000-0005-0000-0000-00004A000000}"/>
    <cellStyle name="Normal 4" xfId="70" xr:uid="{00000000-0005-0000-0000-00004B000000}"/>
    <cellStyle name="Note 2" xfId="71" xr:uid="{00000000-0005-0000-0000-00004C000000}"/>
    <cellStyle name="Note 2 2" xfId="72" xr:uid="{00000000-0005-0000-0000-00004D000000}"/>
    <cellStyle name="Note 2 3" xfId="73" xr:uid="{00000000-0005-0000-0000-00004E000000}"/>
    <cellStyle name="Output" xfId="86" builtinId="21"/>
    <cellStyle name="Output 2" xfId="74" xr:uid="{00000000-0005-0000-0000-00004F000000}"/>
    <cellStyle name="Per cent" xfId="85" builtinId="5"/>
    <cellStyle name="Percent 2" xfId="75" xr:uid="{00000000-0005-0000-0000-000050000000}"/>
    <cellStyle name="Percent 2 2" xfId="76" xr:uid="{00000000-0005-0000-0000-000051000000}"/>
    <cellStyle name="Title 2" xfId="77" xr:uid="{00000000-0005-0000-0000-000052000000}"/>
    <cellStyle name="Total 2" xfId="78" xr:uid="{00000000-0005-0000-0000-000053000000}"/>
    <cellStyle name="Unbenannt1" xfId="79" xr:uid="{00000000-0005-0000-0000-000054000000}"/>
    <cellStyle name="Warning Text 2" xfId="80" xr:uid="{00000000-0005-0000-0000-000055000000}"/>
  </cellStyles>
  <dxfs count="5869">
    <dxf>
      <fill>
        <patternFill patternType="lightDown"/>
      </fill>
    </dxf>
    <dxf>
      <numFmt numFmtId="165" formatCode="0.0000"/>
    </dxf>
    <dxf>
      <numFmt numFmtId="176" formatCode="0.000000"/>
    </dxf>
    <dxf>
      <numFmt numFmtId="168" formatCode="0.00000"/>
    </dxf>
    <dxf>
      <numFmt numFmtId="170" formatCode="0.000"/>
    </dxf>
    <dxf>
      <numFmt numFmtId="2" formatCode="0.00"/>
    </dxf>
    <dxf>
      <numFmt numFmtId="166" formatCode="0.0"/>
    </dxf>
    <dxf>
      <fill>
        <patternFill>
          <bgColor rgb="FFFF0000"/>
        </patternFill>
      </fill>
    </dxf>
    <dxf>
      <fill>
        <patternFill>
          <bgColor rgb="FF92D050"/>
        </patternFill>
      </fill>
    </dxf>
    <dxf>
      <numFmt numFmtId="165" formatCode="0.0000"/>
    </dxf>
    <dxf>
      <numFmt numFmtId="176" formatCode="0.000000"/>
    </dxf>
    <dxf>
      <numFmt numFmtId="168" formatCode="0.00000"/>
    </dxf>
    <dxf>
      <numFmt numFmtId="170" formatCode="0.000"/>
    </dxf>
    <dxf>
      <numFmt numFmtId="2" formatCode="0.00"/>
    </dxf>
    <dxf>
      <numFmt numFmtId="166" formatCode="0.0"/>
    </dxf>
    <dxf>
      <fill>
        <patternFill>
          <bgColor rgb="FFFF0000"/>
        </patternFill>
      </fill>
    </dxf>
    <dxf>
      <fill>
        <patternFill>
          <bgColor rgb="FF92D050"/>
        </patternFill>
      </fill>
    </dxf>
    <dxf>
      <fill>
        <patternFill>
          <bgColor rgb="FF92D050"/>
        </patternFill>
      </fill>
    </dxf>
    <dxf>
      <fill>
        <patternFill>
          <bgColor rgb="FFFF0000"/>
        </patternFill>
      </fill>
    </dxf>
    <dxf>
      <numFmt numFmtId="14" formatCode="0.00%"/>
    </dxf>
    <dxf>
      <numFmt numFmtId="13" formatCode="0%"/>
    </dxf>
    <dxf>
      <numFmt numFmtId="169" formatCode="0.0%"/>
    </dxf>
    <dxf>
      <numFmt numFmtId="172" formatCode="0.000%"/>
    </dxf>
    <dxf>
      <fill>
        <patternFill>
          <bgColor rgb="FF92D050"/>
        </patternFill>
      </fill>
    </dxf>
    <dxf>
      <fill>
        <patternFill>
          <bgColor rgb="FFFF0000"/>
        </patternFill>
      </fill>
    </dxf>
    <dxf>
      <numFmt numFmtId="14" formatCode="0.00%"/>
    </dxf>
    <dxf>
      <numFmt numFmtId="13" formatCode="0%"/>
    </dxf>
    <dxf>
      <numFmt numFmtId="169" formatCode="0.0%"/>
    </dxf>
    <dxf>
      <numFmt numFmtId="172" formatCode="0.000%"/>
    </dxf>
    <dxf>
      <fill>
        <patternFill>
          <bgColor rgb="FF92D050"/>
        </patternFill>
      </fill>
    </dxf>
    <dxf>
      <fill>
        <patternFill>
          <bgColor rgb="FFFF0000"/>
        </patternFill>
      </fill>
    </dxf>
    <dxf>
      <numFmt numFmtId="14" formatCode="0.00%"/>
    </dxf>
    <dxf>
      <numFmt numFmtId="13" formatCode="0%"/>
    </dxf>
    <dxf>
      <numFmt numFmtId="169" formatCode="0.0%"/>
    </dxf>
    <dxf>
      <numFmt numFmtId="172" formatCode="0.000%"/>
    </dxf>
    <dxf>
      <fill>
        <patternFill>
          <bgColor rgb="FF92D050"/>
        </patternFill>
      </fill>
    </dxf>
    <dxf>
      <fill>
        <patternFill>
          <bgColor rgb="FFFF0000"/>
        </patternFill>
      </fill>
    </dxf>
    <dxf>
      <numFmt numFmtId="14" formatCode="0.00%"/>
    </dxf>
    <dxf>
      <numFmt numFmtId="13" formatCode="0%"/>
    </dxf>
    <dxf>
      <numFmt numFmtId="169" formatCode="0.0%"/>
    </dxf>
    <dxf>
      <numFmt numFmtId="172" formatCode="0.000%"/>
    </dxf>
    <dxf>
      <fill>
        <patternFill>
          <bgColor rgb="FF92D050"/>
        </patternFill>
      </fill>
    </dxf>
    <dxf>
      <fill>
        <patternFill>
          <bgColor rgb="FFFF0000"/>
        </patternFill>
      </fill>
    </dxf>
    <dxf>
      <numFmt numFmtId="14" formatCode="0.00%"/>
    </dxf>
    <dxf>
      <numFmt numFmtId="13" formatCode="0%"/>
    </dxf>
    <dxf>
      <numFmt numFmtId="169" formatCode="0.0%"/>
    </dxf>
    <dxf>
      <numFmt numFmtId="172" formatCode="0.000%"/>
    </dxf>
    <dxf>
      <fill>
        <patternFill>
          <bgColor rgb="FF92D050"/>
        </patternFill>
      </fill>
    </dxf>
    <dxf>
      <fill>
        <patternFill>
          <bgColor rgb="FFFF0000"/>
        </patternFill>
      </fill>
    </dxf>
    <dxf>
      <numFmt numFmtId="14" formatCode="0.00%"/>
    </dxf>
    <dxf>
      <numFmt numFmtId="13" formatCode="0%"/>
    </dxf>
    <dxf>
      <numFmt numFmtId="169" formatCode="0.0%"/>
    </dxf>
    <dxf>
      <numFmt numFmtId="172" formatCode="0.000%"/>
    </dxf>
    <dxf>
      <fill>
        <patternFill>
          <bgColor rgb="FF92D050"/>
        </patternFill>
      </fill>
    </dxf>
    <dxf>
      <fill>
        <patternFill>
          <bgColor rgb="FFFF0000"/>
        </patternFill>
      </fill>
    </dxf>
    <dxf>
      <numFmt numFmtId="14" formatCode="0.00%"/>
    </dxf>
    <dxf>
      <numFmt numFmtId="13" formatCode="0%"/>
    </dxf>
    <dxf>
      <numFmt numFmtId="169" formatCode="0.0%"/>
    </dxf>
    <dxf>
      <numFmt numFmtId="172" formatCode="0.000%"/>
    </dxf>
    <dxf>
      <fill>
        <patternFill>
          <bgColor rgb="FF92D050"/>
        </patternFill>
      </fill>
    </dxf>
    <dxf>
      <fill>
        <patternFill>
          <bgColor rgb="FFFF0000"/>
        </patternFill>
      </fill>
    </dxf>
    <dxf>
      <numFmt numFmtId="14" formatCode="0.00%"/>
    </dxf>
    <dxf>
      <numFmt numFmtId="13" formatCode="0%"/>
    </dxf>
    <dxf>
      <numFmt numFmtId="169" formatCode="0.0%"/>
    </dxf>
    <dxf>
      <numFmt numFmtId="172" formatCode="0.0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77" formatCode="0.0E+00"/>
    </dxf>
    <dxf>
      <numFmt numFmtId="1" formatCode="0"/>
    </dxf>
    <dxf>
      <numFmt numFmtId="165" formatCode="0.0000"/>
    </dxf>
    <dxf>
      <numFmt numFmtId="177" formatCode="0.0E+00"/>
    </dxf>
    <dxf>
      <numFmt numFmtId="168" formatCode="0.00000"/>
    </dxf>
    <dxf>
      <numFmt numFmtId="170" formatCode="0.000"/>
    </dxf>
    <dxf>
      <numFmt numFmtId="2" formatCode="0.00"/>
    </dxf>
    <dxf>
      <numFmt numFmtId="166" formatCode="0.0"/>
    </dxf>
    <dxf>
      <numFmt numFmtId="176" formatCode="0.000000"/>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FF0000"/>
        </patternFill>
      </fill>
    </dxf>
    <dxf>
      <fill>
        <patternFill>
          <bgColor rgb="FF92D050"/>
        </patternFill>
      </fill>
    </dxf>
    <dxf>
      <numFmt numFmtId="14" formatCode="0.00%"/>
    </dxf>
    <dxf>
      <numFmt numFmtId="13" formatCode="0%"/>
    </dxf>
    <dxf>
      <numFmt numFmtId="169" formatCode="0.0%"/>
    </dxf>
    <dxf>
      <numFmt numFmtId="172" formatCode="0.000%"/>
    </dxf>
    <dxf>
      <numFmt numFmtId="14" formatCode="0.00%"/>
    </dxf>
    <dxf>
      <numFmt numFmtId="13" formatCode="0%"/>
    </dxf>
    <dxf>
      <numFmt numFmtId="169" formatCode="0.0%"/>
    </dxf>
    <dxf>
      <numFmt numFmtId="172" formatCode="0.000%"/>
    </dxf>
    <dxf>
      <numFmt numFmtId="14" formatCode="0.00%"/>
    </dxf>
    <dxf>
      <numFmt numFmtId="13" formatCode="0%"/>
    </dxf>
    <dxf>
      <numFmt numFmtId="169" formatCode="0.0%"/>
    </dxf>
    <dxf>
      <numFmt numFmtId="172" formatCode="0.000%"/>
    </dxf>
    <dxf>
      <numFmt numFmtId="14" formatCode="0.00%"/>
    </dxf>
    <dxf>
      <numFmt numFmtId="13" formatCode="0%"/>
    </dxf>
    <dxf>
      <numFmt numFmtId="169" formatCode="0.0%"/>
    </dxf>
    <dxf>
      <numFmt numFmtId="172" formatCode="0.000%"/>
    </dxf>
    <dxf>
      <numFmt numFmtId="14" formatCode="0.00%"/>
    </dxf>
    <dxf>
      <numFmt numFmtId="13" formatCode="0%"/>
    </dxf>
    <dxf>
      <numFmt numFmtId="169" formatCode="0.0%"/>
    </dxf>
    <dxf>
      <numFmt numFmtId="172" formatCode="0.000%"/>
    </dxf>
    <dxf>
      <numFmt numFmtId="14" formatCode="0.00%"/>
    </dxf>
    <dxf>
      <numFmt numFmtId="13" formatCode="0%"/>
    </dxf>
    <dxf>
      <numFmt numFmtId="169" formatCode="0.0%"/>
    </dxf>
    <dxf>
      <numFmt numFmtId="172" formatCode="0.000%"/>
    </dxf>
    <dxf>
      <numFmt numFmtId="14" formatCode="0.00%"/>
    </dxf>
    <dxf>
      <numFmt numFmtId="13" formatCode="0%"/>
    </dxf>
    <dxf>
      <numFmt numFmtId="169" formatCode="0.0%"/>
    </dxf>
    <dxf>
      <numFmt numFmtId="172" formatCode="0.000%"/>
    </dxf>
    <dxf>
      <numFmt numFmtId="14" formatCode="0.00%"/>
    </dxf>
    <dxf>
      <numFmt numFmtId="13" formatCode="0%"/>
    </dxf>
    <dxf>
      <numFmt numFmtId="169" formatCode="0.0%"/>
    </dxf>
    <dxf>
      <numFmt numFmtId="172" formatCode="0.000%"/>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FF0000"/>
        </patternFill>
      </fill>
    </dxf>
    <dxf>
      <fill>
        <patternFill>
          <bgColor rgb="FF92D050"/>
        </patternFill>
      </fill>
    </dxf>
    <dxf>
      <numFmt numFmtId="14" formatCode="0.00%"/>
    </dxf>
    <dxf>
      <numFmt numFmtId="13" formatCode="0%"/>
    </dxf>
    <dxf>
      <numFmt numFmtId="169" formatCode="0.0%"/>
    </dxf>
    <dxf>
      <numFmt numFmtId="172" formatCode="0.000%"/>
    </dxf>
    <dxf>
      <numFmt numFmtId="14" formatCode="0.00%"/>
    </dxf>
    <dxf>
      <numFmt numFmtId="13" formatCode="0%"/>
    </dxf>
    <dxf>
      <numFmt numFmtId="169" formatCode="0.0%"/>
    </dxf>
    <dxf>
      <numFmt numFmtId="172" formatCode="0.000%"/>
    </dxf>
    <dxf>
      <numFmt numFmtId="14" formatCode="0.00%"/>
    </dxf>
    <dxf>
      <numFmt numFmtId="13" formatCode="0%"/>
    </dxf>
    <dxf>
      <numFmt numFmtId="169" formatCode="0.0%"/>
    </dxf>
    <dxf>
      <numFmt numFmtId="172" formatCode="0.000%"/>
    </dxf>
    <dxf>
      <numFmt numFmtId="14" formatCode="0.00%"/>
    </dxf>
    <dxf>
      <numFmt numFmtId="13" formatCode="0%"/>
    </dxf>
    <dxf>
      <numFmt numFmtId="169" formatCode="0.0%"/>
    </dxf>
    <dxf>
      <numFmt numFmtId="172" formatCode="0.000%"/>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FF0000"/>
        </patternFill>
      </fill>
    </dxf>
    <dxf>
      <fill>
        <patternFill>
          <bgColor rgb="FF92D050"/>
        </patternFill>
      </fill>
    </dxf>
    <dxf>
      <numFmt numFmtId="14" formatCode="0.00%"/>
    </dxf>
    <dxf>
      <numFmt numFmtId="13" formatCode="0%"/>
    </dxf>
    <dxf>
      <numFmt numFmtId="169" formatCode="0.0%"/>
    </dxf>
    <dxf>
      <numFmt numFmtId="172" formatCode="0.000%"/>
    </dxf>
    <dxf>
      <numFmt numFmtId="14" formatCode="0.00%"/>
    </dxf>
    <dxf>
      <numFmt numFmtId="13" formatCode="0%"/>
    </dxf>
    <dxf>
      <numFmt numFmtId="169" formatCode="0.0%"/>
    </dxf>
    <dxf>
      <numFmt numFmtId="172" formatCode="0.000%"/>
    </dxf>
    <dxf>
      <numFmt numFmtId="14" formatCode="0.00%"/>
    </dxf>
    <dxf>
      <numFmt numFmtId="13" formatCode="0%"/>
    </dxf>
    <dxf>
      <numFmt numFmtId="169" formatCode="0.0%"/>
    </dxf>
    <dxf>
      <numFmt numFmtId="172" formatCode="0.000%"/>
    </dxf>
    <dxf>
      <numFmt numFmtId="14" formatCode="0.00%"/>
    </dxf>
    <dxf>
      <numFmt numFmtId="13" formatCode="0%"/>
    </dxf>
    <dxf>
      <numFmt numFmtId="169" formatCode="0.0%"/>
    </dxf>
    <dxf>
      <numFmt numFmtId="172" formatCode="0.000%"/>
    </dxf>
    <dxf>
      <numFmt numFmtId="14" formatCode="0.00%"/>
    </dxf>
    <dxf>
      <numFmt numFmtId="13" formatCode="0%"/>
    </dxf>
    <dxf>
      <numFmt numFmtId="169" formatCode="0.0%"/>
    </dxf>
    <dxf>
      <numFmt numFmtId="172" formatCode="0.000%"/>
    </dxf>
    <dxf>
      <numFmt numFmtId="14" formatCode="0.00%"/>
    </dxf>
    <dxf>
      <numFmt numFmtId="13" formatCode="0%"/>
    </dxf>
    <dxf>
      <numFmt numFmtId="169" formatCode="0.0%"/>
    </dxf>
    <dxf>
      <numFmt numFmtId="172" formatCode="0.000%"/>
    </dxf>
    <dxf>
      <numFmt numFmtId="14" formatCode="0.00%"/>
    </dxf>
    <dxf>
      <numFmt numFmtId="13" formatCode="0%"/>
    </dxf>
    <dxf>
      <numFmt numFmtId="169" formatCode="0.0%"/>
    </dxf>
    <dxf>
      <numFmt numFmtId="172" formatCode="0.000%"/>
    </dxf>
    <dxf>
      <numFmt numFmtId="14" formatCode="0.00%"/>
    </dxf>
    <dxf>
      <numFmt numFmtId="13" formatCode="0%"/>
    </dxf>
    <dxf>
      <numFmt numFmtId="169" formatCode="0.0%"/>
    </dxf>
    <dxf>
      <numFmt numFmtId="172" formatCode="0.000%"/>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FF0000"/>
        </patternFill>
      </fill>
    </dxf>
    <dxf>
      <fill>
        <patternFill>
          <bgColor rgb="FF92D050"/>
        </patternFill>
      </fill>
    </dxf>
    <dxf>
      <numFmt numFmtId="14" formatCode="0.00%"/>
    </dxf>
    <dxf>
      <numFmt numFmtId="13" formatCode="0%"/>
    </dxf>
    <dxf>
      <numFmt numFmtId="169" formatCode="0.0%"/>
    </dxf>
    <dxf>
      <numFmt numFmtId="172" formatCode="0.000%"/>
    </dxf>
    <dxf>
      <numFmt numFmtId="14" formatCode="0.00%"/>
    </dxf>
    <dxf>
      <numFmt numFmtId="13" formatCode="0%"/>
    </dxf>
    <dxf>
      <numFmt numFmtId="169" formatCode="0.0%"/>
    </dxf>
    <dxf>
      <numFmt numFmtId="172" formatCode="0.000%"/>
    </dxf>
    <dxf>
      <numFmt numFmtId="14" formatCode="0.00%"/>
    </dxf>
    <dxf>
      <numFmt numFmtId="13" formatCode="0%"/>
    </dxf>
    <dxf>
      <numFmt numFmtId="169" formatCode="0.0%"/>
    </dxf>
    <dxf>
      <numFmt numFmtId="172" formatCode="0.000%"/>
    </dxf>
    <dxf>
      <numFmt numFmtId="14" formatCode="0.00%"/>
    </dxf>
    <dxf>
      <numFmt numFmtId="13" formatCode="0%"/>
    </dxf>
    <dxf>
      <numFmt numFmtId="169" formatCode="0.0%"/>
    </dxf>
    <dxf>
      <numFmt numFmtId="172" formatCode="0.000%"/>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FF0000"/>
        </patternFill>
      </fill>
    </dxf>
    <dxf>
      <fill>
        <patternFill>
          <bgColor rgb="FF92D050"/>
        </patternFill>
      </fill>
    </dxf>
    <dxf>
      <numFmt numFmtId="14" formatCode="0.00%"/>
    </dxf>
    <dxf>
      <numFmt numFmtId="13" formatCode="0%"/>
    </dxf>
    <dxf>
      <numFmt numFmtId="169" formatCode="0.0%"/>
    </dxf>
    <dxf>
      <numFmt numFmtId="172" formatCode="0.000%"/>
    </dxf>
    <dxf>
      <numFmt numFmtId="14" formatCode="0.00%"/>
    </dxf>
    <dxf>
      <numFmt numFmtId="13" formatCode="0%"/>
    </dxf>
    <dxf>
      <numFmt numFmtId="169" formatCode="0.0%"/>
    </dxf>
    <dxf>
      <numFmt numFmtId="172" formatCode="0.000%"/>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FF0000"/>
        </patternFill>
      </fill>
    </dxf>
    <dxf>
      <fill>
        <patternFill>
          <bgColor rgb="FF92D050"/>
        </patternFill>
      </fill>
    </dxf>
    <dxf>
      <numFmt numFmtId="14" formatCode="0.00%"/>
    </dxf>
    <dxf>
      <numFmt numFmtId="13" formatCode="0%"/>
    </dxf>
    <dxf>
      <numFmt numFmtId="169" formatCode="0.0%"/>
    </dxf>
    <dxf>
      <numFmt numFmtId="172" formatCode="0.000%"/>
    </dxf>
    <dxf>
      <numFmt numFmtId="14" formatCode="0.00%"/>
    </dxf>
    <dxf>
      <numFmt numFmtId="13" formatCode="0%"/>
    </dxf>
    <dxf>
      <numFmt numFmtId="169" formatCode="0.0%"/>
    </dxf>
    <dxf>
      <numFmt numFmtId="172" formatCode="0.000%"/>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FF0000"/>
        </patternFill>
      </fill>
    </dxf>
    <dxf>
      <fill>
        <patternFill>
          <bgColor rgb="FF92D050"/>
        </patternFill>
      </fill>
    </dxf>
    <dxf>
      <numFmt numFmtId="173" formatCode="0.0000%"/>
    </dxf>
    <dxf>
      <numFmt numFmtId="1" formatCode="0"/>
    </dxf>
    <dxf>
      <numFmt numFmtId="14" formatCode="0.00%"/>
    </dxf>
    <dxf>
      <numFmt numFmtId="13" formatCode="0%"/>
    </dxf>
    <dxf>
      <numFmt numFmtId="169" formatCode="0.0%"/>
    </dxf>
    <dxf>
      <numFmt numFmtId="172" formatCode="0.000%"/>
    </dxf>
    <dxf>
      <numFmt numFmtId="14" formatCode="0.00%"/>
    </dxf>
    <dxf>
      <numFmt numFmtId="13" formatCode="0%"/>
    </dxf>
    <dxf>
      <numFmt numFmtId="169" formatCode="0.0%"/>
    </dxf>
    <dxf>
      <numFmt numFmtId="172" formatCode="0.000%"/>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FF0000"/>
        </patternFill>
      </fill>
    </dxf>
    <dxf>
      <fill>
        <patternFill>
          <bgColor rgb="FF92D050"/>
        </patternFill>
      </fill>
    </dxf>
    <dxf>
      <numFmt numFmtId="14" formatCode="0.00%"/>
    </dxf>
    <dxf>
      <numFmt numFmtId="13" formatCode="0%"/>
    </dxf>
    <dxf>
      <numFmt numFmtId="169" formatCode="0.0%"/>
    </dxf>
    <dxf>
      <numFmt numFmtId="172" formatCode="0.000%"/>
    </dxf>
    <dxf>
      <numFmt numFmtId="14" formatCode="0.00%"/>
    </dxf>
    <dxf>
      <numFmt numFmtId="13" formatCode="0%"/>
    </dxf>
    <dxf>
      <numFmt numFmtId="169" formatCode="0.0%"/>
    </dxf>
    <dxf>
      <numFmt numFmtId="172" formatCode="0.000%"/>
    </dxf>
    <dxf>
      <numFmt numFmtId="14" formatCode="0.00%"/>
    </dxf>
    <dxf>
      <numFmt numFmtId="13" formatCode="0%"/>
    </dxf>
    <dxf>
      <numFmt numFmtId="169" formatCode="0.0%"/>
    </dxf>
    <dxf>
      <numFmt numFmtId="172" formatCode="0.000%"/>
    </dxf>
    <dxf>
      <numFmt numFmtId="14" formatCode="0.00%"/>
    </dxf>
    <dxf>
      <numFmt numFmtId="13" formatCode="0%"/>
    </dxf>
    <dxf>
      <numFmt numFmtId="169" formatCode="0.0%"/>
    </dxf>
    <dxf>
      <numFmt numFmtId="172" formatCode="0.000%"/>
    </dxf>
    <dxf>
      <numFmt numFmtId="14" formatCode="0.00%"/>
    </dxf>
    <dxf>
      <numFmt numFmtId="13" formatCode="0%"/>
    </dxf>
    <dxf>
      <numFmt numFmtId="169" formatCode="0.0%"/>
    </dxf>
    <dxf>
      <numFmt numFmtId="172" formatCode="0.000%"/>
    </dxf>
    <dxf>
      <numFmt numFmtId="14" formatCode="0.00%"/>
    </dxf>
    <dxf>
      <numFmt numFmtId="13" formatCode="0%"/>
    </dxf>
    <dxf>
      <numFmt numFmtId="169" formatCode="0.0%"/>
    </dxf>
    <dxf>
      <numFmt numFmtId="172" formatCode="0.000%"/>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numFmt numFmtId="14" formatCode="0.00%"/>
    </dxf>
    <dxf>
      <numFmt numFmtId="13" formatCode="0%"/>
    </dxf>
    <dxf>
      <numFmt numFmtId="169" formatCode="0.0%"/>
    </dxf>
    <dxf>
      <numFmt numFmtId="172" formatCode="0.000%"/>
    </dxf>
    <dxf>
      <numFmt numFmtId="14" formatCode="0.00%"/>
    </dxf>
    <dxf>
      <numFmt numFmtId="13" formatCode="0%"/>
    </dxf>
    <dxf>
      <numFmt numFmtId="169" formatCode="0.0%"/>
    </dxf>
    <dxf>
      <numFmt numFmtId="172" formatCode="0.000%"/>
    </dxf>
    <dxf>
      <fill>
        <patternFill>
          <bgColor rgb="FFFF0000"/>
        </patternFill>
      </fill>
    </dxf>
    <dxf>
      <fill>
        <patternFill>
          <bgColor rgb="FF92D050"/>
        </patternFill>
      </fill>
    </dxf>
    <dxf>
      <numFmt numFmtId="14" formatCode="0.00%"/>
    </dxf>
    <dxf>
      <numFmt numFmtId="13" formatCode="0%"/>
    </dxf>
    <dxf>
      <numFmt numFmtId="169" formatCode="0.0%"/>
    </dxf>
    <dxf>
      <numFmt numFmtId="172" formatCode="0.000%"/>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numFmt numFmtId="14" formatCode="0.00%"/>
    </dxf>
    <dxf>
      <numFmt numFmtId="13" formatCode="0%"/>
    </dxf>
    <dxf>
      <numFmt numFmtId="169" formatCode="0.0%"/>
    </dxf>
    <dxf>
      <numFmt numFmtId="172" formatCode="0.000%"/>
    </dxf>
    <dxf>
      <numFmt numFmtId="14" formatCode="0.00%"/>
    </dxf>
    <dxf>
      <numFmt numFmtId="13" formatCode="0%"/>
    </dxf>
    <dxf>
      <numFmt numFmtId="169" formatCode="0.0%"/>
    </dxf>
    <dxf>
      <numFmt numFmtId="172" formatCode="0.000%"/>
    </dxf>
    <dxf>
      <fill>
        <patternFill>
          <bgColor rgb="FFFF0000"/>
        </patternFill>
      </fill>
    </dxf>
    <dxf>
      <fill>
        <patternFill>
          <bgColor rgb="FF92D050"/>
        </patternFill>
      </fill>
    </dxf>
    <dxf>
      <numFmt numFmtId="14" formatCode="0.00%"/>
    </dxf>
    <dxf>
      <numFmt numFmtId="13" formatCode="0%"/>
    </dxf>
    <dxf>
      <numFmt numFmtId="169" formatCode="0.0%"/>
    </dxf>
    <dxf>
      <numFmt numFmtId="172" formatCode="0.000%"/>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FF0000"/>
        </patternFill>
      </fill>
    </dxf>
    <dxf>
      <fill>
        <patternFill>
          <bgColor rgb="FF92D050"/>
        </patternFill>
      </fill>
    </dxf>
    <dxf>
      <numFmt numFmtId="14" formatCode="0.00%"/>
    </dxf>
    <dxf>
      <numFmt numFmtId="13" formatCode="0%"/>
    </dxf>
    <dxf>
      <numFmt numFmtId="169" formatCode="0.0%"/>
    </dxf>
    <dxf>
      <numFmt numFmtId="172" formatCode="0.000%"/>
    </dxf>
    <dxf>
      <numFmt numFmtId="14" formatCode="0.00%"/>
    </dxf>
    <dxf>
      <numFmt numFmtId="13" formatCode="0%"/>
    </dxf>
    <dxf>
      <numFmt numFmtId="169" formatCode="0.0%"/>
    </dxf>
    <dxf>
      <numFmt numFmtId="172" formatCode="0.000%"/>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FF0000"/>
        </patternFill>
      </fill>
    </dxf>
    <dxf>
      <fill>
        <patternFill>
          <bgColor rgb="FF92D050"/>
        </patternFill>
      </fill>
    </dxf>
    <dxf>
      <numFmt numFmtId="14" formatCode="0.00%"/>
    </dxf>
    <dxf>
      <numFmt numFmtId="13" formatCode="0%"/>
    </dxf>
    <dxf>
      <numFmt numFmtId="169" formatCode="0.0%"/>
    </dxf>
    <dxf>
      <numFmt numFmtId="172" formatCode="0.000%"/>
    </dxf>
    <dxf>
      <numFmt numFmtId="14" formatCode="0.00%"/>
    </dxf>
    <dxf>
      <numFmt numFmtId="13" formatCode="0%"/>
    </dxf>
    <dxf>
      <numFmt numFmtId="169" formatCode="0.0%"/>
    </dxf>
    <dxf>
      <numFmt numFmtId="172" formatCode="0.000%"/>
    </dxf>
    <dxf>
      <numFmt numFmtId="14" formatCode="0.00%"/>
    </dxf>
    <dxf>
      <numFmt numFmtId="13" formatCode="0%"/>
    </dxf>
    <dxf>
      <numFmt numFmtId="169" formatCode="0.0%"/>
    </dxf>
    <dxf>
      <numFmt numFmtId="172" formatCode="0.000%"/>
    </dxf>
    <dxf>
      <numFmt numFmtId="14" formatCode="0.00%"/>
    </dxf>
    <dxf>
      <numFmt numFmtId="13" formatCode="0%"/>
    </dxf>
    <dxf>
      <numFmt numFmtId="169" formatCode="0.0%"/>
    </dxf>
    <dxf>
      <numFmt numFmtId="172" formatCode="0.000%"/>
    </dxf>
    <dxf>
      <numFmt numFmtId="1" formatCode="0"/>
    </dxf>
    <dxf>
      <numFmt numFmtId="165" formatCode="0.0000"/>
    </dxf>
    <dxf>
      <numFmt numFmtId="177" formatCode="0.0E+00"/>
    </dxf>
    <dxf>
      <numFmt numFmtId="168" formatCode="0.00000"/>
    </dxf>
    <dxf>
      <numFmt numFmtId="170" formatCode="0.000"/>
    </dxf>
    <dxf>
      <numFmt numFmtId="2" formatCode="0.00"/>
    </dxf>
    <dxf>
      <numFmt numFmtId="166" formatCode="0.0"/>
    </dxf>
    <dxf>
      <numFmt numFmtId="176" formatCode="0.0000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4" formatCode="0.00%"/>
    </dxf>
    <dxf>
      <numFmt numFmtId="13" formatCode="0%"/>
    </dxf>
    <dxf>
      <numFmt numFmtId="169" formatCode="0.0%"/>
    </dxf>
    <dxf>
      <numFmt numFmtId="172" formatCode="0.000%"/>
    </dxf>
    <dxf>
      <numFmt numFmtId="14" formatCode="0.00%"/>
    </dxf>
    <dxf>
      <numFmt numFmtId="13" formatCode="0%"/>
    </dxf>
    <dxf>
      <numFmt numFmtId="169" formatCode="0.0%"/>
    </dxf>
    <dxf>
      <numFmt numFmtId="172" formatCode="0.0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FF0000"/>
        </patternFill>
      </fill>
    </dxf>
    <dxf>
      <fill>
        <patternFill>
          <bgColor rgb="FF92D05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FF0000"/>
        </patternFill>
      </fill>
    </dxf>
    <dxf>
      <fill>
        <patternFill>
          <bgColor rgb="FF92D050"/>
        </patternFill>
      </fill>
    </dxf>
    <dxf>
      <numFmt numFmtId="173" formatCode="0.0000%"/>
    </dxf>
    <dxf>
      <numFmt numFmtId="1" formatCode="0"/>
    </dxf>
    <dxf>
      <numFmt numFmtId="14" formatCode="0.00%"/>
    </dxf>
    <dxf>
      <numFmt numFmtId="13" formatCode="0%"/>
    </dxf>
    <dxf>
      <numFmt numFmtId="169" formatCode="0.0%"/>
    </dxf>
    <dxf>
      <numFmt numFmtId="172" formatCode="0.000%"/>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FF0000"/>
        </patternFill>
      </fill>
    </dxf>
    <dxf>
      <fill>
        <patternFill>
          <bgColor rgb="FF92D05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FF0000"/>
        </patternFill>
      </fill>
    </dxf>
    <dxf>
      <fill>
        <patternFill>
          <bgColor rgb="FF92D05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FF0000"/>
        </patternFill>
      </fill>
    </dxf>
    <dxf>
      <fill>
        <patternFill>
          <bgColor rgb="FF92D05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FF0000"/>
        </patternFill>
      </fill>
    </dxf>
    <dxf>
      <fill>
        <patternFill>
          <bgColor rgb="FF92D050"/>
        </patternFill>
      </fill>
    </dxf>
    <dxf>
      <numFmt numFmtId="173" formatCode="0.0000%"/>
    </dxf>
    <dxf>
      <numFmt numFmtId="1" formatCode="0"/>
    </dxf>
    <dxf>
      <numFmt numFmtId="14" formatCode="0.00%"/>
    </dxf>
    <dxf>
      <numFmt numFmtId="13" formatCode="0%"/>
    </dxf>
    <dxf>
      <numFmt numFmtId="169" formatCode="0.0%"/>
    </dxf>
    <dxf>
      <numFmt numFmtId="172" formatCode="0.000%"/>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FF0000"/>
        </patternFill>
      </fill>
    </dxf>
    <dxf>
      <fill>
        <patternFill>
          <bgColor rgb="FF92D050"/>
        </patternFill>
      </fill>
    </dxf>
    <dxf>
      <numFmt numFmtId="173" formatCode="0.0000%"/>
    </dxf>
    <dxf>
      <numFmt numFmtId="1" formatCode="0"/>
    </dxf>
    <dxf>
      <numFmt numFmtId="14" formatCode="0.00%"/>
    </dxf>
    <dxf>
      <numFmt numFmtId="13" formatCode="0%"/>
    </dxf>
    <dxf>
      <numFmt numFmtId="169" formatCode="0.0%"/>
    </dxf>
    <dxf>
      <numFmt numFmtId="172" formatCode="0.000%"/>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numFmt numFmtId="14" formatCode="0.00%"/>
    </dxf>
    <dxf>
      <numFmt numFmtId="13" formatCode="0%"/>
    </dxf>
    <dxf>
      <numFmt numFmtId="169" formatCode="0.0%"/>
    </dxf>
    <dxf>
      <numFmt numFmtId="172" formatCode="0.000%"/>
    </dxf>
    <dxf>
      <numFmt numFmtId="173" formatCode="0.0000%"/>
    </dxf>
    <dxf>
      <numFmt numFmtId="1" formatCode="0"/>
    </dxf>
    <dxf>
      <fill>
        <patternFill>
          <bgColor rgb="FFFF0000"/>
        </patternFill>
      </fill>
    </dxf>
    <dxf>
      <fill>
        <patternFill>
          <bgColor rgb="FF92D050"/>
        </patternFill>
      </fill>
    </dxf>
    <dxf>
      <numFmt numFmtId="14" formatCode="0.00%"/>
    </dxf>
    <dxf>
      <numFmt numFmtId="13" formatCode="0%"/>
    </dxf>
    <dxf>
      <numFmt numFmtId="169" formatCode="0.0%"/>
    </dxf>
    <dxf>
      <numFmt numFmtId="172" formatCode="0.0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FF0000"/>
        </patternFill>
      </fill>
    </dxf>
    <dxf>
      <fill>
        <patternFill>
          <bgColor rgb="FF92D050"/>
        </patternFill>
      </fill>
    </dxf>
    <dxf>
      <numFmt numFmtId="14" formatCode="0.00%"/>
    </dxf>
    <dxf>
      <numFmt numFmtId="13" formatCode="0%"/>
    </dxf>
    <dxf>
      <numFmt numFmtId="169" formatCode="0.0%"/>
    </dxf>
    <dxf>
      <numFmt numFmtId="172" formatCode="0.000%"/>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FF0000"/>
        </patternFill>
      </fill>
    </dxf>
    <dxf>
      <fill>
        <patternFill>
          <bgColor rgb="FF92D050"/>
        </patternFill>
      </fill>
    </dxf>
    <dxf>
      <fill>
        <patternFill>
          <bgColor rgb="FFFF0000"/>
        </patternFill>
      </fill>
    </dxf>
    <dxf>
      <numFmt numFmtId="14" formatCode="0.00%"/>
    </dxf>
    <dxf>
      <numFmt numFmtId="13" formatCode="0%"/>
    </dxf>
    <dxf>
      <numFmt numFmtId="169" formatCode="0.0%"/>
    </dxf>
    <dxf>
      <numFmt numFmtId="172" formatCode="0.000%"/>
    </dxf>
    <dxf>
      <numFmt numFmtId="1" formatCode="0"/>
    </dxf>
    <dxf>
      <numFmt numFmtId="1" formatCode="0"/>
    </dxf>
    <dxf>
      <numFmt numFmtId="1" formatCode="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font>
        <b val="0"/>
        <i val="0"/>
        <strike val="0"/>
        <condense val="0"/>
        <extend val="0"/>
        <outline val="0"/>
        <shadow val="0"/>
        <u val="none"/>
        <vertAlign val="baseline"/>
        <sz val="11"/>
        <color rgb="FF000000"/>
        <name val="Calibri"/>
        <family val="2"/>
        <charset val="1"/>
        <scheme val="none"/>
      </font>
    </dxf>
    <dxf>
      <font>
        <b val="0"/>
        <i val="0"/>
        <strike val="0"/>
        <condense val="0"/>
        <extend val="0"/>
        <outline val="0"/>
        <shadow val="0"/>
        <u val="none"/>
        <vertAlign val="baseline"/>
        <sz val="11"/>
        <color rgb="FF000000"/>
        <name val="Calibri"/>
        <family val="2"/>
        <charset val="1"/>
        <scheme val="none"/>
      </font>
    </dxf>
    <dxf>
      <font>
        <b val="0"/>
        <i val="0"/>
        <strike val="0"/>
        <condense val="0"/>
        <extend val="0"/>
        <outline val="0"/>
        <shadow val="0"/>
        <u val="none"/>
        <vertAlign val="baseline"/>
        <sz val="11"/>
        <color rgb="FF000000"/>
        <name val="Calibri"/>
        <family val="2"/>
        <charset val="1"/>
        <scheme val="none"/>
      </font>
    </dxf>
    <dxf>
      <font>
        <b val="0"/>
        <i val="0"/>
        <strike val="0"/>
        <condense val="0"/>
        <extend val="0"/>
        <outline val="0"/>
        <shadow val="0"/>
        <u val="none"/>
        <vertAlign val="baseline"/>
        <sz val="11"/>
        <color rgb="FF000000"/>
        <name val="Calibri"/>
        <family val="2"/>
        <charset val="1"/>
        <scheme val="none"/>
      </font>
    </dxf>
    <dxf>
      <font>
        <b val="0"/>
        <i val="0"/>
        <strike val="0"/>
        <condense val="0"/>
        <extend val="0"/>
        <outline val="0"/>
        <shadow val="0"/>
        <u val="none"/>
        <vertAlign val="baseline"/>
        <sz val="11"/>
        <color rgb="FF000000"/>
        <name val="Calibri"/>
        <family val="2"/>
        <charset val="1"/>
        <scheme val="none"/>
      </font>
    </dxf>
    <dxf>
      <font>
        <b val="0"/>
        <i val="0"/>
        <strike val="0"/>
        <condense val="0"/>
        <extend val="0"/>
        <outline val="0"/>
        <shadow val="0"/>
        <u val="none"/>
        <vertAlign val="baseline"/>
        <sz val="11"/>
        <color rgb="FF000000"/>
        <name val="Calibri"/>
        <family val="2"/>
        <charset val="1"/>
        <scheme val="none"/>
      </font>
      <alignment horizontal="general" vertical="bottom" textRotation="0" wrapText="1" indent="0" justifyLastLine="0" shrinkToFit="0" readingOrder="0"/>
    </dxf>
    <dxf>
      <font>
        <b val="0"/>
        <i val="0"/>
        <strike val="0"/>
        <condense val="0"/>
        <extend val="0"/>
        <outline val="0"/>
        <shadow val="0"/>
        <u val="none"/>
        <vertAlign val="baseline"/>
        <sz val="11"/>
        <color rgb="FF000000"/>
        <name val="Calibri"/>
        <family val="2"/>
        <charset val="1"/>
        <scheme val="none"/>
      </font>
    </dxf>
    <dxf>
      <font>
        <b val="0"/>
        <i val="0"/>
        <strike val="0"/>
        <condense val="0"/>
        <extend val="0"/>
        <outline val="0"/>
        <shadow val="0"/>
        <u val="none"/>
        <vertAlign val="baseline"/>
        <sz val="11"/>
        <color rgb="FF000000"/>
        <name val="Calibri"/>
        <family val="2"/>
        <charset val="1"/>
        <scheme val="none"/>
      </font>
    </dxf>
    <dxf>
      <font>
        <b val="0"/>
        <i val="0"/>
        <strike val="0"/>
        <condense val="0"/>
        <extend val="0"/>
        <outline val="0"/>
        <shadow val="0"/>
        <u val="none"/>
        <vertAlign val="baseline"/>
        <sz val="11"/>
        <color rgb="FF000000"/>
        <name val="Calibri"/>
        <family val="2"/>
        <charset val="1"/>
        <scheme val="none"/>
      </font>
    </dxf>
    <dxf>
      <font>
        <b val="0"/>
        <i val="0"/>
        <strike val="0"/>
        <condense val="0"/>
        <extend val="0"/>
        <outline val="0"/>
        <shadow val="0"/>
        <u val="none"/>
        <vertAlign val="baseline"/>
        <sz val="11"/>
        <color rgb="FF000000"/>
        <name val="Calibri"/>
        <family val="2"/>
        <charset val="1"/>
        <scheme val="none"/>
      </font>
    </dxf>
    <dxf>
      <font>
        <b val="0"/>
        <i val="0"/>
        <strike val="0"/>
        <condense val="0"/>
        <extend val="0"/>
        <outline val="0"/>
        <shadow val="0"/>
        <u val="none"/>
        <vertAlign val="baseline"/>
        <sz val="11"/>
        <color rgb="FF000000"/>
        <name val="Calibri"/>
        <family val="2"/>
        <charset val="1"/>
        <scheme val="none"/>
      </font>
    </dxf>
    <dxf>
      <font>
        <b val="0"/>
        <i val="0"/>
        <strike val="0"/>
        <condense val="0"/>
        <extend val="0"/>
        <outline val="0"/>
        <shadow val="0"/>
        <u val="none"/>
        <vertAlign val="baseline"/>
        <sz val="11"/>
        <color rgb="FF000000"/>
        <name val="Calibri"/>
        <family val="2"/>
        <charset val="1"/>
        <scheme val="none"/>
      </font>
    </dxf>
    <dxf>
      <font>
        <b val="0"/>
        <i val="0"/>
        <strike val="0"/>
        <condense val="0"/>
        <extend val="0"/>
        <outline val="0"/>
        <shadow val="0"/>
        <u val="none"/>
        <vertAlign val="baseline"/>
        <sz val="11"/>
        <color rgb="FF000000"/>
        <name val="Calibri"/>
        <family val="2"/>
        <charset val="1"/>
        <scheme val="none"/>
      </font>
    </dxf>
    <dxf>
      <font>
        <b val="0"/>
        <i val="0"/>
        <strike val="0"/>
        <condense val="0"/>
        <extend val="0"/>
        <outline val="0"/>
        <shadow val="0"/>
        <u val="none"/>
        <vertAlign val="baseline"/>
        <sz val="11"/>
        <color rgb="FF000000"/>
        <name val="Calibri"/>
        <family val="2"/>
        <charset val="1"/>
        <scheme val="none"/>
      </font>
    </dxf>
    <dxf>
      <font>
        <b val="0"/>
        <i val="0"/>
        <strike val="0"/>
        <condense val="0"/>
        <extend val="0"/>
        <outline val="0"/>
        <shadow val="0"/>
        <u val="none"/>
        <vertAlign val="baseline"/>
        <sz val="11"/>
        <color rgb="FF000000"/>
        <name val="Calibri"/>
        <family val="2"/>
        <charset val="1"/>
        <scheme val="none"/>
      </font>
    </dxf>
    <dxf>
      <font>
        <b/>
        <i val="0"/>
        <strike val="0"/>
        <condense val="0"/>
        <extend val="0"/>
        <outline val="0"/>
        <shadow val="0"/>
        <u val="none"/>
        <vertAlign val="baseline"/>
        <sz val="11"/>
        <color rgb="FF000000"/>
        <name val="Calibri"/>
        <family val="2"/>
        <charset val="1"/>
        <scheme val="none"/>
      </font>
      <alignment horizontal="general" vertical="bottom" textRotation="0" wrapText="1" indent="0" justifyLastLine="0" shrinkToFit="0" readingOrder="0"/>
    </dxf>
    <dxf>
      <alignment horizontal="left" vertical="bottom" textRotation="0" wrapText="0" indent="0" justifyLastLine="0" shrinkToFit="0" readingOrder="0"/>
    </dxf>
    <dxf>
      <alignment horizontal="left" vertical="bottom" textRotation="0" wrapText="0" indent="0" justifyLastLine="0" shrinkToFit="0" readingOrder="0"/>
    </dxf>
    <dxf>
      <alignment horizontal="left" vertical="bottom" textRotation="0" wrapText="0" indent="0" justifyLastLine="0" shrinkToFit="0" readingOrder="0"/>
    </dxf>
    <dxf>
      <numFmt numFmtId="0" formatCode="General"/>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 formatCode="0"/>
    </dxf>
    <dxf>
      <numFmt numFmtId="1" formatCode="0"/>
    </dxf>
    <dxf>
      <numFmt numFmtId="1" formatCode="0"/>
    </dxf>
    <dxf>
      <numFmt numFmtId="1" formatCode="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 formatCode="0"/>
    </dxf>
    <dxf>
      <numFmt numFmtId="1" formatCode="0"/>
    </dxf>
    <dxf>
      <numFmt numFmtId="1" formatCode="0"/>
    </dxf>
    <dxf>
      <numFmt numFmtId="1" formatCode="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 formatCode="0"/>
    </dxf>
    <dxf>
      <numFmt numFmtId="1" formatCode="0"/>
    </dxf>
    <dxf>
      <numFmt numFmtId="1" formatCode="0"/>
    </dxf>
    <dxf>
      <numFmt numFmtId="1" formatCode="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 formatCode="0"/>
    </dxf>
    <dxf>
      <numFmt numFmtId="1" formatCode="0"/>
    </dxf>
    <dxf>
      <numFmt numFmtId="1" formatCode="0"/>
    </dxf>
    <dxf>
      <numFmt numFmtId="1" formatCode="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 formatCode="0"/>
    </dxf>
    <dxf>
      <numFmt numFmtId="1" formatCode="0"/>
    </dxf>
    <dxf>
      <numFmt numFmtId="1" formatCode="0"/>
    </dxf>
    <dxf>
      <numFmt numFmtId="1" formatCode="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 formatCode="0"/>
    </dxf>
    <dxf>
      <numFmt numFmtId="1" formatCode="0"/>
    </dxf>
    <dxf>
      <numFmt numFmtId="1" formatCode="0"/>
    </dxf>
    <dxf>
      <numFmt numFmtId="1" formatCode="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 formatCode="0"/>
    </dxf>
    <dxf>
      <numFmt numFmtId="1" formatCode="0"/>
    </dxf>
    <dxf>
      <numFmt numFmtId="1" formatCode="0"/>
    </dxf>
    <dxf>
      <numFmt numFmtId="1" formatCode="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 formatCode="0"/>
    </dxf>
    <dxf>
      <numFmt numFmtId="1" formatCode="0"/>
    </dxf>
    <dxf>
      <numFmt numFmtId="1" formatCode="0"/>
    </dxf>
    <dxf>
      <numFmt numFmtId="1" formatCode="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 formatCode="0"/>
    </dxf>
    <dxf>
      <numFmt numFmtId="1" formatCode="0"/>
    </dxf>
    <dxf>
      <numFmt numFmtId="1" formatCode="0"/>
    </dxf>
    <dxf>
      <numFmt numFmtId="1" formatCode="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 formatCode="0"/>
    </dxf>
    <dxf>
      <numFmt numFmtId="1" formatCode="0"/>
    </dxf>
    <dxf>
      <numFmt numFmtId="1" formatCode="0"/>
    </dxf>
    <dxf>
      <numFmt numFmtId="1" formatCode="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 formatCode="0"/>
    </dxf>
    <dxf>
      <numFmt numFmtId="1" formatCode="0"/>
    </dxf>
    <dxf>
      <numFmt numFmtId="1" formatCode="0"/>
    </dxf>
    <dxf>
      <numFmt numFmtId="1" formatCode="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 formatCode="0"/>
    </dxf>
    <dxf>
      <numFmt numFmtId="1" formatCode="0"/>
    </dxf>
    <dxf>
      <numFmt numFmtId="1" formatCode="0"/>
    </dxf>
    <dxf>
      <numFmt numFmtId="1" formatCode="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77" formatCode="0.0E+00"/>
    </dxf>
    <dxf>
      <fill>
        <patternFill>
          <bgColor rgb="FF92D050"/>
        </patternFill>
      </fill>
    </dxf>
    <dxf>
      <fill>
        <patternFill>
          <bgColor rgb="FFFF0000"/>
        </patternFill>
      </fill>
    </dxf>
    <dxf>
      <fill>
        <patternFill>
          <bgColor rgb="FFFF0000"/>
        </patternFill>
      </fill>
    </dxf>
    <dxf>
      <fill>
        <patternFill>
          <bgColor rgb="FF92D050"/>
        </patternFill>
      </fill>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92D050"/>
        </patternFill>
      </fill>
    </dxf>
    <dxf>
      <fill>
        <patternFill>
          <bgColor rgb="FFFF000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92D050"/>
        </patternFill>
      </fill>
    </dxf>
    <dxf>
      <fill>
        <patternFill>
          <bgColor rgb="FFFF000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92D050"/>
        </patternFill>
      </fill>
    </dxf>
    <dxf>
      <fill>
        <patternFill>
          <bgColor rgb="FFFF0000"/>
        </patternFill>
      </fill>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font>
        <b val="0"/>
        <i val="0"/>
        <strike val="0"/>
        <condense val="0"/>
        <extend val="0"/>
        <outline val="0"/>
        <shadow val="0"/>
        <u val="none"/>
        <vertAlign val="baseline"/>
        <sz val="11"/>
        <color rgb="FF000000"/>
        <name val="Calibri"/>
        <family val="2"/>
        <charset val="1"/>
        <scheme val="none"/>
      </font>
      <numFmt numFmtId="2" formatCode="0.00"/>
      <alignment horizontal="right" vertical="bottom" textRotation="0" wrapText="0" indent="0" justifyLastLine="0" shrinkToFit="0" readingOrder="0"/>
    </dxf>
    <dxf>
      <font>
        <b val="0"/>
        <i val="0"/>
        <strike val="0"/>
        <condense val="0"/>
        <extend val="0"/>
        <outline val="0"/>
        <shadow val="0"/>
        <u val="none"/>
        <vertAlign val="baseline"/>
        <sz val="11"/>
        <color rgb="FF000000"/>
        <name val="Calibri"/>
        <family val="2"/>
        <charset val="1"/>
        <scheme val="none"/>
      </font>
      <numFmt numFmtId="2" formatCode="0.00"/>
      <alignment horizontal="right" vertical="bottom" textRotation="0" wrapText="0" indent="0" justifyLastLine="0" shrinkToFit="0" readingOrder="0"/>
    </dxf>
    <dxf>
      <font>
        <b val="0"/>
        <i val="0"/>
        <strike val="0"/>
        <condense val="0"/>
        <extend val="0"/>
        <outline val="0"/>
        <shadow val="0"/>
        <u val="none"/>
        <vertAlign val="baseline"/>
        <sz val="11"/>
        <color rgb="FF000000"/>
        <name val="Calibri"/>
        <family val="2"/>
        <charset val="1"/>
        <scheme val="none"/>
      </font>
      <numFmt numFmtId="2" formatCode="0.00"/>
      <alignment horizontal="right" vertical="bottom" textRotation="0" wrapText="0" indent="0" justifyLastLine="0" shrinkToFit="0" readingOrder="0"/>
    </dxf>
    <dxf>
      <font>
        <b val="0"/>
        <i val="0"/>
        <strike val="0"/>
        <condense val="0"/>
        <extend val="0"/>
        <outline val="0"/>
        <shadow val="0"/>
        <u val="none"/>
        <vertAlign val="baseline"/>
        <sz val="11"/>
        <color rgb="FF000000"/>
        <name val="Calibri"/>
        <family val="2"/>
        <charset val="1"/>
        <scheme val="none"/>
      </font>
      <numFmt numFmtId="2" formatCode="0.00"/>
      <alignment horizontal="right" vertical="bottom" textRotation="0" wrapText="0" indent="0" justifyLastLine="0" shrinkToFit="0" readingOrder="0"/>
    </dxf>
    <dxf>
      <font>
        <b val="0"/>
        <i val="0"/>
        <strike val="0"/>
        <condense val="0"/>
        <extend val="0"/>
        <outline val="0"/>
        <shadow val="0"/>
        <u val="none"/>
        <vertAlign val="baseline"/>
        <sz val="11"/>
        <color rgb="FF000000"/>
        <name val="Calibri"/>
        <family val="2"/>
        <charset val="1"/>
        <scheme val="none"/>
      </font>
      <numFmt numFmtId="2" formatCode="0.00"/>
      <alignment horizontal="right" vertical="bottom" textRotation="0" wrapText="0" indent="0" justifyLastLine="0" shrinkToFit="0" readingOrder="0"/>
    </dxf>
    <dxf>
      <font>
        <b val="0"/>
        <i val="0"/>
        <strike val="0"/>
        <condense val="0"/>
        <extend val="0"/>
        <outline val="0"/>
        <shadow val="0"/>
        <u val="none"/>
        <vertAlign val="baseline"/>
        <sz val="11"/>
        <color rgb="FF000000"/>
        <name val="Calibri"/>
        <family val="2"/>
        <charset val="1"/>
        <scheme val="none"/>
      </font>
      <numFmt numFmtId="2" formatCode="0.00"/>
      <alignment horizontal="right" vertical="bottom" textRotation="0" wrapText="0" indent="0" justifyLastLine="0" shrinkToFit="0" readingOrder="0"/>
    </dxf>
    <dxf>
      <font>
        <b val="0"/>
        <i val="0"/>
        <strike val="0"/>
        <condense val="0"/>
        <extend val="0"/>
        <outline val="0"/>
        <shadow val="0"/>
        <u val="none"/>
        <vertAlign val="baseline"/>
        <sz val="11"/>
        <color rgb="FF000000"/>
        <name val="Calibri"/>
        <family val="2"/>
        <charset val="1"/>
        <scheme val="none"/>
      </font>
      <numFmt numFmtId="2" formatCode="0.00"/>
      <alignment horizontal="right" vertical="bottom" textRotation="0" wrapText="0" indent="0" justifyLastLine="0" shrinkToFit="0" readingOrder="0"/>
    </dxf>
    <dxf>
      <font>
        <b val="0"/>
        <i val="0"/>
        <strike val="0"/>
        <condense val="0"/>
        <extend val="0"/>
        <outline val="0"/>
        <shadow val="0"/>
        <u val="none"/>
        <vertAlign val="baseline"/>
        <sz val="11"/>
        <color rgb="FF000000"/>
        <name val="Calibri"/>
        <family val="2"/>
        <charset val="1"/>
        <scheme val="none"/>
      </font>
      <numFmt numFmtId="2" formatCode="0.00"/>
      <alignment horizontal="right" vertical="bottom" textRotation="0" wrapText="0" indent="0" justifyLastLine="0" shrinkToFit="0" readingOrder="0"/>
    </dxf>
    <dxf>
      <font>
        <b val="0"/>
        <i val="0"/>
        <strike val="0"/>
        <condense val="0"/>
        <extend val="0"/>
        <outline val="0"/>
        <shadow val="0"/>
        <u val="none"/>
        <vertAlign val="baseline"/>
        <sz val="11"/>
        <color rgb="FF000000"/>
        <name val="Calibri"/>
        <family val="2"/>
        <charset val="1"/>
        <scheme val="none"/>
      </font>
      <numFmt numFmtId="2" formatCode="0.00"/>
      <alignment horizontal="right" vertical="bottom" textRotation="0" wrapText="0" indent="0" justifyLastLine="0" shrinkToFit="0" readingOrder="0"/>
    </dxf>
    <dxf>
      <font>
        <b val="0"/>
        <i val="0"/>
        <strike val="0"/>
        <condense val="0"/>
        <extend val="0"/>
        <outline val="0"/>
        <shadow val="0"/>
        <u val="none"/>
        <vertAlign val="baseline"/>
        <sz val="11"/>
        <color rgb="FF000000"/>
        <name val="Calibri"/>
        <family val="2"/>
        <charset val="1"/>
        <scheme val="none"/>
      </font>
      <numFmt numFmtId="2" formatCode="0.00"/>
      <alignment horizontal="right" vertical="bottom" textRotation="0" wrapText="0" indent="0" justifyLastLine="0" shrinkToFit="0" readingOrder="0"/>
    </dxf>
    <dxf>
      <font>
        <b val="0"/>
        <i val="0"/>
        <strike val="0"/>
        <condense val="0"/>
        <extend val="0"/>
        <outline val="0"/>
        <shadow val="0"/>
        <u val="none"/>
        <vertAlign val="baseline"/>
        <sz val="11"/>
        <color rgb="FF000000"/>
        <name val="Calibri"/>
        <family val="2"/>
        <charset val="1"/>
        <scheme val="none"/>
      </font>
      <numFmt numFmtId="2" formatCode="0.00"/>
      <alignment horizontal="right" vertical="bottom" textRotation="0" wrapText="0" indent="0" justifyLastLine="0" shrinkToFit="0" readingOrder="0"/>
    </dxf>
    <dxf>
      <font>
        <b val="0"/>
        <i val="0"/>
        <strike val="0"/>
        <condense val="0"/>
        <extend val="0"/>
        <outline val="0"/>
        <shadow val="0"/>
        <u val="none"/>
        <vertAlign val="baseline"/>
        <sz val="11"/>
        <color rgb="FF000000"/>
        <name val="Calibri"/>
        <family val="2"/>
        <charset val="1"/>
        <scheme val="none"/>
      </font>
      <numFmt numFmtId="2" formatCode="0.00"/>
      <alignment horizontal="right" vertical="bottom" textRotation="0" wrapText="0" indent="0" justifyLastLine="0" shrinkToFit="0" readingOrder="0"/>
    </dxf>
    <dxf>
      <font>
        <b val="0"/>
        <i val="0"/>
        <strike val="0"/>
        <condense val="0"/>
        <extend val="0"/>
        <outline val="0"/>
        <shadow val="0"/>
        <u val="none"/>
        <vertAlign val="baseline"/>
        <sz val="11"/>
        <color rgb="FF000000"/>
        <name val="Calibri"/>
        <family val="2"/>
        <scheme val="none"/>
      </font>
      <numFmt numFmtId="2" formatCode="0.00"/>
      <alignment horizontal="right" vertical="bottom" textRotation="0" wrapText="0" indent="0" justifyLastLine="0" shrinkToFit="0" readingOrder="0"/>
    </dxf>
    <dxf>
      <font>
        <b val="0"/>
        <i val="0"/>
        <strike val="0"/>
        <condense val="0"/>
        <extend val="0"/>
        <outline val="0"/>
        <shadow val="0"/>
        <u val="none"/>
        <vertAlign val="baseline"/>
        <sz val="11"/>
        <color rgb="FF000000"/>
        <name val="Calibri"/>
        <family val="2"/>
        <scheme val="none"/>
      </font>
      <numFmt numFmtId="2" formatCode="0.00"/>
      <alignment horizontal="right" vertical="bottom" textRotation="0" wrapText="0" indent="0" justifyLastLine="0" shrinkToFit="0" readingOrder="0"/>
    </dxf>
    <dxf>
      <font>
        <b val="0"/>
        <i val="0"/>
        <strike val="0"/>
        <condense val="0"/>
        <extend val="0"/>
        <outline val="0"/>
        <shadow val="0"/>
        <u val="none"/>
        <vertAlign val="baseline"/>
        <sz val="11"/>
        <color rgb="FF000000"/>
        <name val="Calibri"/>
        <family val="2"/>
        <scheme val="none"/>
      </font>
      <numFmt numFmtId="2" formatCode="0.00"/>
      <alignment horizontal="right" vertical="bottom" textRotation="0" wrapText="0" indent="0" justifyLastLine="0" shrinkToFit="0" readingOrder="0"/>
    </dxf>
    <dxf>
      <font>
        <b val="0"/>
        <i val="0"/>
        <strike val="0"/>
        <condense val="0"/>
        <extend val="0"/>
        <outline val="0"/>
        <shadow val="0"/>
        <u val="none"/>
        <vertAlign val="baseline"/>
        <sz val="11"/>
        <color rgb="FF000000"/>
        <name val="Calibri"/>
        <family val="2"/>
        <scheme val="none"/>
      </font>
      <numFmt numFmtId="2" formatCode="0.00"/>
      <alignment horizontal="right" vertical="bottom" textRotation="0" wrapText="0" indent="0" justifyLastLine="0" shrinkToFit="0" readingOrder="0"/>
    </dxf>
    <dxf>
      <font>
        <b val="0"/>
        <i val="0"/>
        <strike val="0"/>
        <condense val="0"/>
        <extend val="0"/>
        <outline val="0"/>
        <shadow val="0"/>
        <u val="none"/>
        <vertAlign val="baseline"/>
        <sz val="11"/>
        <color rgb="FF000000"/>
        <name val="Calibri"/>
        <family val="2"/>
        <scheme val="none"/>
      </font>
      <numFmt numFmtId="168" formatCode="0.00000"/>
    </dxf>
    <dxf>
      <font>
        <b val="0"/>
        <i val="0"/>
        <strike val="0"/>
        <condense val="0"/>
        <extend val="0"/>
        <outline val="0"/>
        <shadow val="0"/>
        <u val="none"/>
        <vertAlign val="baseline"/>
        <sz val="11"/>
        <color rgb="FF000000"/>
        <name val="Calibri"/>
        <family val="2"/>
        <scheme val="none"/>
      </font>
      <numFmt numFmtId="168" formatCode="0.00000"/>
    </dxf>
    <dxf>
      <font>
        <b val="0"/>
        <i val="0"/>
        <strike val="0"/>
        <condense val="0"/>
        <extend val="0"/>
        <outline val="0"/>
        <shadow val="0"/>
        <u val="none"/>
        <vertAlign val="baseline"/>
        <sz val="11"/>
        <color rgb="FF000000"/>
        <name val="Calibri"/>
        <family val="2"/>
        <scheme val="none"/>
      </font>
      <numFmt numFmtId="168" formatCode="0.00000"/>
    </dxf>
    <dxf>
      <font>
        <b val="0"/>
        <i val="0"/>
        <strike val="0"/>
        <condense val="0"/>
        <extend val="0"/>
        <outline val="0"/>
        <shadow val="0"/>
        <u val="none"/>
        <vertAlign val="baseline"/>
        <sz val="11"/>
        <color rgb="FF000000"/>
        <name val="Calibri"/>
        <family val="2"/>
        <scheme val="none"/>
      </font>
      <numFmt numFmtId="168" formatCode="0.00000"/>
    </dxf>
    <dxf>
      <font>
        <b val="0"/>
        <i val="0"/>
        <strike val="0"/>
        <condense val="0"/>
        <extend val="0"/>
        <outline val="0"/>
        <shadow val="0"/>
        <u val="none"/>
        <vertAlign val="baseline"/>
        <sz val="11"/>
        <color rgb="FF000000"/>
        <name val="Calibri"/>
        <family val="2"/>
        <scheme val="none"/>
      </font>
      <numFmt numFmtId="168" formatCode="0.00000"/>
    </dxf>
    <dxf>
      <font>
        <b val="0"/>
        <i val="0"/>
        <strike val="0"/>
        <condense val="0"/>
        <extend val="0"/>
        <outline val="0"/>
        <shadow val="0"/>
        <u val="none"/>
        <vertAlign val="baseline"/>
        <sz val="11"/>
        <color rgb="FF000000"/>
        <name val="Calibri"/>
        <family val="2"/>
        <charset val="1"/>
        <scheme val="none"/>
      </font>
      <numFmt numFmtId="168" formatCode="0.00000"/>
    </dxf>
    <dxf>
      <font>
        <b val="0"/>
        <i val="0"/>
        <strike val="0"/>
        <condense val="0"/>
        <extend val="0"/>
        <outline val="0"/>
        <shadow val="0"/>
        <u val="none"/>
        <vertAlign val="baseline"/>
        <sz val="11"/>
        <color rgb="FF000000"/>
        <name val="Calibri"/>
        <family val="2"/>
        <charset val="1"/>
        <scheme val="none"/>
      </font>
    </dxf>
    <dxf>
      <font>
        <b/>
        <i val="0"/>
        <strike val="0"/>
        <condense val="0"/>
        <extend val="0"/>
        <outline val="0"/>
        <shadow val="0"/>
        <u val="none"/>
        <vertAlign val="baseline"/>
        <sz val="11"/>
        <color rgb="FF000000"/>
        <name val="Calibri"/>
        <family val="2"/>
        <scheme val="none"/>
      </font>
      <numFmt numFmtId="168" formatCode="0.00000"/>
      <alignment horizontal="general" vertical="bottom" textRotation="0" wrapText="1" indent="0" justifyLastLine="0" shrinkToFit="0" readingOrder="0"/>
    </dxf>
    <dxf>
      <font>
        <color theme="0" tint="-0.34998626667073579"/>
      </font>
      <fill>
        <patternFill patternType="lightUp"/>
      </fill>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fill>
        <patternFill>
          <bgColor rgb="FFFF0000"/>
        </patternFill>
      </fill>
    </dxf>
    <dxf>
      <fill>
        <patternFill>
          <bgColor rgb="FF92D050"/>
        </patternFill>
      </fill>
    </dxf>
    <dxf>
      <fill>
        <patternFill>
          <bgColor rgb="FF92D050"/>
        </patternFill>
      </fill>
    </dxf>
    <dxf>
      <fill>
        <patternFill>
          <bgColor rgb="FFFF0000"/>
        </patternFill>
      </fill>
    </dxf>
    <dxf>
      <numFmt numFmtId="14" formatCode="0.00%"/>
    </dxf>
    <dxf>
      <numFmt numFmtId="13" formatCode="0%"/>
    </dxf>
    <dxf>
      <numFmt numFmtId="169" formatCode="0.0%"/>
    </dxf>
    <dxf>
      <numFmt numFmtId="172" formatCode="0.000%"/>
    </dxf>
    <dxf>
      <fill>
        <patternFill>
          <bgColor rgb="FFFF0000"/>
        </patternFill>
      </fill>
    </dxf>
    <dxf>
      <fill>
        <patternFill>
          <bgColor rgb="FF92D050"/>
        </patternFill>
      </fill>
    </dxf>
    <dxf>
      <fill>
        <patternFill>
          <bgColor rgb="FF92D050"/>
        </patternFill>
      </fill>
    </dxf>
    <dxf>
      <fill>
        <patternFill>
          <bgColor rgb="FFFF000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92D050"/>
        </patternFill>
      </fill>
    </dxf>
    <dxf>
      <fill>
        <patternFill>
          <bgColor rgb="FFFF0000"/>
        </patternFill>
      </fill>
    </dxf>
    <dxf>
      <fill>
        <patternFill>
          <bgColor rgb="FFFF0000"/>
        </patternFill>
      </fill>
    </dxf>
    <dxf>
      <fill>
        <patternFill>
          <bgColor rgb="FF92D050"/>
        </patternFill>
      </fill>
    </dxf>
    <dxf>
      <fill>
        <patternFill>
          <bgColor rgb="FF92D050"/>
        </patternFill>
      </fill>
    </dxf>
    <dxf>
      <fill>
        <patternFill>
          <bgColor rgb="FFFF0000"/>
        </patternFill>
      </fill>
    </dxf>
    <dxf>
      <fill>
        <patternFill>
          <bgColor rgb="FFFF0000"/>
        </patternFill>
      </fill>
    </dxf>
    <dxf>
      <fill>
        <patternFill>
          <bgColor rgb="FF92D050"/>
        </patternFill>
      </fill>
    </dxf>
    <dxf>
      <fill>
        <patternFill>
          <bgColor rgb="FF92D050"/>
        </patternFill>
      </fill>
    </dxf>
    <dxf>
      <fill>
        <patternFill>
          <bgColor rgb="FFFF000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92D050"/>
        </patternFill>
      </fill>
    </dxf>
    <dxf>
      <fill>
        <patternFill>
          <bgColor rgb="FFFF0000"/>
        </patternFill>
      </fill>
    </dxf>
    <dxf>
      <fill>
        <patternFill>
          <bgColor rgb="FFFF0000"/>
        </patternFill>
      </fill>
    </dxf>
    <dxf>
      <fill>
        <patternFill>
          <bgColor rgb="FF92D050"/>
        </patternFill>
      </fill>
    </dxf>
    <dxf>
      <fill>
        <patternFill>
          <bgColor rgb="FF92D050"/>
        </patternFill>
      </fill>
    </dxf>
    <dxf>
      <fill>
        <patternFill>
          <bgColor rgb="FFFF0000"/>
        </patternFill>
      </fill>
    </dxf>
    <dxf>
      <fill>
        <patternFill>
          <bgColor rgb="FFFF0000"/>
        </patternFill>
      </fill>
    </dxf>
    <dxf>
      <fill>
        <patternFill>
          <bgColor rgb="FF92D050"/>
        </patternFill>
      </fill>
    </dxf>
    <dxf>
      <fill>
        <patternFill>
          <bgColor rgb="FF92D050"/>
        </patternFill>
      </fill>
    </dxf>
    <dxf>
      <fill>
        <patternFill>
          <bgColor rgb="FFFF0000"/>
        </patternFill>
      </fill>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4" formatCode="0.00%"/>
    </dxf>
    <dxf>
      <numFmt numFmtId="13" formatCode="0%"/>
    </dxf>
    <dxf>
      <numFmt numFmtId="169" formatCode="0.0%"/>
    </dxf>
    <dxf>
      <numFmt numFmtId="172" formatCode="0.000%"/>
    </dxf>
    <dxf>
      <numFmt numFmtId="14" formatCode="0.00%"/>
    </dxf>
    <dxf>
      <numFmt numFmtId="13" formatCode="0%"/>
    </dxf>
    <dxf>
      <numFmt numFmtId="169" formatCode="0.0%"/>
    </dxf>
    <dxf>
      <numFmt numFmtId="172" formatCode="0.000%"/>
    </dxf>
    <dxf>
      <numFmt numFmtId="14" formatCode="0.00%"/>
    </dxf>
    <dxf>
      <numFmt numFmtId="13" formatCode="0%"/>
    </dxf>
    <dxf>
      <numFmt numFmtId="169" formatCode="0.0%"/>
    </dxf>
    <dxf>
      <numFmt numFmtId="172" formatCode="0.0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5" formatCode="0.00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font>
        <color theme="2" tint="-0.24994659260841701"/>
      </font>
      <fill>
        <patternFill patternType="lightUp"/>
      </fill>
    </dxf>
    <dxf>
      <font>
        <color theme="2" tint="-0.24994659260841701"/>
      </font>
      <fill>
        <patternFill patternType="lightUp"/>
      </fill>
    </dxf>
    <dxf>
      <font>
        <color theme="2" tint="-0.24994659260841701"/>
      </font>
      <fill>
        <patternFill patternType="lightUp"/>
      </fill>
    </dxf>
    <dxf>
      <font>
        <color theme="2" tint="-0.24994659260841701"/>
      </font>
      <fill>
        <patternFill patternType="lightUp"/>
      </fill>
    </dxf>
    <dxf>
      <fill>
        <patternFill>
          <bgColor rgb="FFFFFF00"/>
        </patternFill>
      </fill>
    </dxf>
    <dxf>
      <fill>
        <patternFill>
          <bgColor rgb="FFFFFF00"/>
        </patternFill>
      </fill>
    </dxf>
    <dxf>
      <numFmt numFmtId="13" formatCode="0%"/>
    </dxf>
    <dxf>
      <fill>
        <patternFill>
          <bgColor rgb="FFFF0000"/>
        </patternFill>
      </fill>
    </dxf>
    <dxf>
      <fill>
        <patternFill>
          <bgColor rgb="FF92D050"/>
        </patternFill>
      </fill>
    </dxf>
    <dxf>
      <numFmt numFmtId="14" formatCode="0.00%"/>
    </dxf>
    <dxf>
      <numFmt numFmtId="13" formatCode="0%"/>
    </dxf>
    <dxf>
      <numFmt numFmtId="169" formatCode="0.0%"/>
    </dxf>
    <dxf>
      <numFmt numFmtId="172" formatCode="0.000%"/>
    </dxf>
    <dxf>
      <fill>
        <patternFill>
          <bgColor rgb="FF92D050"/>
        </patternFill>
      </fill>
    </dxf>
    <dxf>
      <fill>
        <patternFill>
          <bgColor rgb="FFFF0000"/>
        </patternFill>
      </fill>
    </dxf>
    <dxf>
      <numFmt numFmtId="14" formatCode="0.00%"/>
    </dxf>
    <dxf>
      <numFmt numFmtId="13" formatCode="0%"/>
    </dxf>
    <dxf>
      <numFmt numFmtId="169" formatCode="0.0%"/>
    </dxf>
    <dxf>
      <numFmt numFmtId="172" formatCode="0.000%"/>
    </dxf>
    <dxf>
      <fill>
        <patternFill>
          <bgColor rgb="FFFF0000"/>
        </patternFill>
      </fill>
    </dxf>
    <dxf>
      <fill>
        <patternFill>
          <bgColor rgb="FF92D050"/>
        </patternFill>
      </fill>
    </dxf>
    <dxf>
      <numFmt numFmtId="14" formatCode="0.00%"/>
    </dxf>
    <dxf>
      <numFmt numFmtId="13" formatCode="0%"/>
    </dxf>
    <dxf>
      <numFmt numFmtId="169" formatCode="0.0%"/>
    </dxf>
    <dxf>
      <numFmt numFmtId="172" formatCode="0.000%"/>
    </dxf>
    <dxf>
      <fill>
        <patternFill>
          <bgColor rgb="FF92D050"/>
        </patternFill>
      </fill>
    </dxf>
    <dxf>
      <fill>
        <patternFill>
          <bgColor rgb="FFFF0000"/>
        </patternFill>
      </fill>
    </dxf>
    <dxf>
      <numFmt numFmtId="14" formatCode="0.00%"/>
    </dxf>
    <dxf>
      <numFmt numFmtId="13" formatCode="0%"/>
    </dxf>
    <dxf>
      <numFmt numFmtId="169" formatCode="0.0%"/>
    </dxf>
    <dxf>
      <numFmt numFmtId="172" formatCode="0.000%"/>
    </dxf>
    <dxf>
      <fill>
        <patternFill>
          <bgColor rgb="FFFF0000"/>
        </patternFill>
      </fill>
    </dxf>
    <dxf>
      <fill>
        <patternFill>
          <bgColor rgb="FF92D050"/>
        </patternFill>
      </fill>
    </dxf>
    <dxf>
      <numFmt numFmtId="14" formatCode="0.00%"/>
    </dxf>
    <dxf>
      <numFmt numFmtId="13" formatCode="0%"/>
    </dxf>
    <dxf>
      <numFmt numFmtId="169" formatCode="0.0%"/>
    </dxf>
    <dxf>
      <numFmt numFmtId="172" formatCode="0.000%"/>
    </dxf>
    <dxf>
      <fill>
        <patternFill>
          <bgColor rgb="FFFF0000"/>
        </patternFill>
      </fill>
    </dxf>
    <dxf>
      <fill>
        <patternFill>
          <bgColor rgb="FF92D050"/>
        </patternFill>
      </fill>
    </dxf>
    <dxf>
      <numFmt numFmtId="14" formatCode="0.00%"/>
    </dxf>
    <dxf>
      <numFmt numFmtId="13" formatCode="0%"/>
    </dxf>
    <dxf>
      <numFmt numFmtId="169" formatCode="0.0%"/>
    </dxf>
    <dxf>
      <numFmt numFmtId="172" formatCode="0.000%"/>
    </dxf>
    <dxf>
      <fill>
        <patternFill>
          <bgColor rgb="FFFF0000"/>
        </patternFill>
      </fill>
    </dxf>
    <dxf>
      <fill>
        <patternFill>
          <bgColor rgb="FF92D050"/>
        </patternFill>
      </fill>
    </dxf>
    <dxf>
      <numFmt numFmtId="14" formatCode="0.00%"/>
    </dxf>
    <dxf>
      <numFmt numFmtId="13" formatCode="0%"/>
    </dxf>
    <dxf>
      <numFmt numFmtId="169" formatCode="0.0%"/>
    </dxf>
    <dxf>
      <numFmt numFmtId="172" formatCode="0.000%"/>
    </dxf>
    <dxf>
      <fill>
        <patternFill>
          <bgColor rgb="FFFF0000"/>
        </patternFill>
      </fill>
    </dxf>
    <dxf>
      <fill>
        <patternFill>
          <bgColor rgb="FF92D050"/>
        </patternFill>
      </fill>
    </dxf>
    <dxf>
      <numFmt numFmtId="14" formatCode="0.00%"/>
    </dxf>
    <dxf>
      <numFmt numFmtId="13" formatCode="0%"/>
    </dxf>
    <dxf>
      <numFmt numFmtId="169" formatCode="0.0%"/>
    </dxf>
    <dxf>
      <numFmt numFmtId="172" formatCode="0.000%"/>
    </dxf>
    <dxf>
      <fill>
        <patternFill>
          <bgColor rgb="FFFF0000"/>
        </patternFill>
      </fill>
    </dxf>
    <dxf>
      <fill>
        <patternFill>
          <bgColor rgb="FF92D050"/>
        </patternFill>
      </fill>
    </dxf>
    <dxf>
      <numFmt numFmtId="14" formatCode="0.00%"/>
    </dxf>
    <dxf>
      <numFmt numFmtId="13" formatCode="0%"/>
    </dxf>
    <dxf>
      <numFmt numFmtId="169" formatCode="0.0%"/>
    </dxf>
    <dxf>
      <numFmt numFmtId="172" formatCode="0.000%"/>
    </dxf>
    <dxf>
      <fill>
        <patternFill>
          <bgColor rgb="FFFF0000"/>
        </patternFill>
      </fill>
    </dxf>
    <dxf>
      <fill>
        <patternFill>
          <bgColor rgb="FF92D050"/>
        </patternFill>
      </fill>
    </dxf>
    <dxf>
      <numFmt numFmtId="14" formatCode="0.00%"/>
    </dxf>
    <dxf>
      <numFmt numFmtId="13" formatCode="0%"/>
    </dxf>
    <dxf>
      <numFmt numFmtId="169" formatCode="0.0%"/>
    </dxf>
    <dxf>
      <numFmt numFmtId="172" formatCode="0.000%"/>
    </dxf>
    <dxf>
      <font>
        <color theme="2" tint="-0.24994659260841701"/>
      </font>
      <fill>
        <patternFill patternType="lightUp"/>
      </fill>
    </dxf>
    <dxf>
      <font>
        <b val="0"/>
        <i/>
        <strike val="0"/>
        <color theme="2" tint="-0.24994659260841701"/>
      </font>
    </dxf>
    <dxf>
      <font>
        <b val="0"/>
        <i/>
        <strike val="0"/>
        <color theme="2" tint="-0.24994659260841701"/>
      </font>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5" formatCode="0.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5" formatCode="0.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5" formatCode="0.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5" formatCode="0.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5" formatCode="0.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5" formatCode="0.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5" formatCode="0.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5" formatCode="0.00E+00"/>
    </dxf>
    <dxf>
      <numFmt numFmtId="1" formatCode="0"/>
    </dxf>
    <dxf>
      <numFmt numFmtId="1" formatCode="0"/>
    </dxf>
    <dxf>
      <numFmt numFmtId="15" formatCode="0.00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font>
        <color theme="2" tint="-0.24994659260841701"/>
      </font>
      <fill>
        <patternFill patternType="lightUp"/>
      </fill>
    </dxf>
    <dxf>
      <font>
        <b val="0"/>
        <i/>
        <strike val="0"/>
        <color theme="2" tint="-0.24994659260841701"/>
      </font>
    </dxf>
    <dxf>
      <font>
        <b val="0"/>
        <i/>
        <strike val="0"/>
        <color theme="2" tint="-0.24994659260841701"/>
      </font>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4" formatCode="0.00%"/>
    </dxf>
    <dxf>
      <numFmt numFmtId="13" formatCode="0%"/>
    </dxf>
    <dxf>
      <numFmt numFmtId="169" formatCode="0.0%"/>
    </dxf>
    <dxf>
      <numFmt numFmtId="172" formatCode="0.0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4" formatCode="0.00%"/>
    </dxf>
    <dxf>
      <numFmt numFmtId="13" formatCode="0%"/>
    </dxf>
    <dxf>
      <numFmt numFmtId="169" formatCode="0.0%"/>
    </dxf>
    <dxf>
      <numFmt numFmtId="172" formatCode="0.0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5" formatCode="0.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5" formatCode="0.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5" formatCode="0.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5" formatCode="0.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5" formatCode="0.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5" formatCode="0.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4" formatCode="0.00%"/>
    </dxf>
    <dxf>
      <numFmt numFmtId="13" formatCode="0%"/>
    </dxf>
    <dxf>
      <numFmt numFmtId="169" formatCode="0.0%"/>
    </dxf>
    <dxf>
      <numFmt numFmtId="172" formatCode="0.000%"/>
    </dxf>
    <dxf>
      <numFmt numFmtId="1" formatCode="0"/>
    </dxf>
    <dxf>
      <numFmt numFmtId="15" formatCode="0.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5" formatCode="0.00E+00"/>
    </dxf>
    <dxf>
      <numFmt numFmtId="1" formatCode="0"/>
    </dxf>
    <dxf>
      <numFmt numFmtId="1" formatCode="0"/>
    </dxf>
    <dxf>
      <numFmt numFmtId="15" formatCode="0.00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font>
        <color theme="2" tint="-0.24994659260841701"/>
      </font>
      <fill>
        <patternFill patternType="lightUp"/>
      </fill>
    </dxf>
    <dxf>
      <font>
        <b val="0"/>
        <i/>
        <strike val="0"/>
        <color theme="2" tint="-0.24994659260841701"/>
      </font>
    </dxf>
    <dxf>
      <font>
        <b val="0"/>
        <i/>
        <strike val="0"/>
        <color theme="2" tint="-0.24994659260841701"/>
      </font>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4" formatCode="0.00%"/>
    </dxf>
    <dxf>
      <numFmt numFmtId="13" formatCode="0%"/>
    </dxf>
    <dxf>
      <numFmt numFmtId="169" formatCode="0.0%"/>
    </dxf>
    <dxf>
      <numFmt numFmtId="172" formatCode="0.0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4" formatCode="0.00%"/>
    </dxf>
    <dxf>
      <numFmt numFmtId="13" formatCode="0%"/>
    </dxf>
    <dxf>
      <numFmt numFmtId="169" formatCode="0.0%"/>
    </dxf>
    <dxf>
      <numFmt numFmtId="172" formatCode="0.0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5" formatCode="0.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5" formatCode="0.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5" formatCode="0.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5" formatCode="0.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5" formatCode="0.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5" formatCode="0.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4" formatCode="0.00%"/>
    </dxf>
    <dxf>
      <numFmt numFmtId="13" formatCode="0%"/>
    </dxf>
    <dxf>
      <numFmt numFmtId="169" formatCode="0.0%"/>
    </dxf>
    <dxf>
      <numFmt numFmtId="172" formatCode="0.000%"/>
    </dxf>
    <dxf>
      <numFmt numFmtId="1" formatCode="0"/>
    </dxf>
    <dxf>
      <numFmt numFmtId="15" formatCode="0.00E+00"/>
    </dxf>
    <dxf>
      <numFmt numFmtId="1" formatCode="0"/>
    </dxf>
    <dxf>
      <numFmt numFmtId="165" formatCode="0.0000"/>
    </dxf>
    <dxf>
      <numFmt numFmtId="176" formatCode="0.000000"/>
    </dxf>
    <dxf>
      <numFmt numFmtId="168" formatCode="0.00000"/>
    </dxf>
    <dxf>
      <numFmt numFmtId="170" formatCode="0.000"/>
    </dxf>
    <dxf>
      <numFmt numFmtId="2" formatCode="0.00"/>
    </dxf>
    <dxf>
      <numFmt numFmtId="166" formatCode="0.0"/>
    </dxf>
    <dxf>
      <numFmt numFmtId="1" formatCode="0"/>
    </dxf>
    <dxf>
      <numFmt numFmtId="15" formatCode="0.00E+00"/>
    </dxf>
    <dxf>
      <numFmt numFmtId="1" formatCode="0"/>
    </dxf>
    <dxf>
      <numFmt numFmtId="1" formatCode="0"/>
    </dxf>
    <dxf>
      <numFmt numFmtId="15" formatCode="0.00E+00"/>
    </dxf>
    <dxf>
      <numFmt numFmtId="165" formatCode="0.0000"/>
    </dxf>
    <dxf>
      <numFmt numFmtId="176" formatCode="0.000000"/>
    </dxf>
    <dxf>
      <numFmt numFmtId="168" formatCode="0.00000"/>
    </dxf>
    <dxf>
      <numFmt numFmtId="170" formatCode="0.000"/>
    </dxf>
    <dxf>
      <numFmt numFmtId="2" formatCode="0.00"/>
    </dxf>
    <dxf>
      <numFmt numFmtId="166" formatCode="0.0"/>
    </dxf>
    <dxf>
      <numFmt numFmtId="165" formatCode="0.0000"/>
    </dxf>
    <dxf>
      <numFmt numFmtId="176" formatCode="0.000000"/>
    </dxf>
    <dxf>
      <numFmt numFmtId="168" formatCode="0.00000"/>
    </dxf>
    <dxf>
      <numFmt numFmtId="170" formatCode="0.000"/>
    </dxf>
    <dxf>
      <numFmt numFmtId="2" formatCode="0.00"/>
    </dxf>
    <dxf>
      <numFmt numFmtId="166" formatCode="0.0"/>
    </dxf>
    <dxf>
      <fill>
        <patternFill patternType="lightDown"/>
      </fill>
    </dxf>
    <dxf>
      <numFmt numFmtId="1" formatCode="0"/>
    </dxf>
    <dxf>
      <font>
        <b val="0"/>
        <i/>
        <strike val="0"/>
        <color theme="2" tint="-0.24994659260841701"/>
      </font>
      <numFmt numFmtId="1" formatCode="0"/>
    </dxf>
    <dxf>
      <font>
        <b/>
        <i val="0"/>
        <color rgb="FFFF0000"/>
      </font>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fgColor rgb="FFFFC000"/>
          <bgColor rgb="FFFFFF00"/>
        </patternFill>
      </fill>
    </dxf>
    <dxf>
      <fill>
        <patternFill>
          <bgColor rgb="FFFFFF00"/>
        </patternFill>
      </fill>
    </dxf>
    <dxf>
      <fill>
        <patternFill>
          <bgColor rgb="FFFF0000"/>
        </patternFill>
      </fill>
    </dxf>
    <dxf>
      <fill>
        <patternFill patternType="lightDown"/>
      </fill>
    </dxf>
    <dxf>
      <fill>
        <patternFill>
          <bgColor rgb="FFFFFF00"/>
        </patternFill>
      </fill>
    </dxf>
    <dxf>
      <fill>
        <patternFill patternType="lightDown"/>
      </fill>
    </dxf>
    <dxf>
      <fill>
        <patternFill patternType="lightDown"/>
      </fill>
    </dxf>
    <dxf>
      <fill>
        <patternFill patternType="lightDown"/>
      </fill>
    </dxf>
    <dxf>
      <fill>
        <patternFill patternType="lightDown"/>
      </fill>
    </dxf>
    <dxf>
      <fill>
        <patternFill patternType="lightDown"/>
      </fil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s>
  <tableStyles count="0" defaultTableStyle="TableStyleMedium2" defaultPivotStyle="PivotStyleLight16"/>
  <colors>
    <indexedColors>
      <rgbColor rgb="FF000000"/>
      <rgbColor rgb="FFFFFFFF"/>
      <rgbColor rgb="FFFF0000"/>
      <rgbColor rgb="FF00FF00"/>
      <rgbColor rgb="FF0000FF"/>
      <rgbColor rgb="FFD7E4BD"/>
      <rgbColor rgb="FFFF00FF"/>
      <rgbColor rgb="FF00FFFF"/>
      <rgbColor rgb="FF800000"/>
      <rgbColor rgb="FF008000"/>
      <rgbColor rgb="FF000080"/>
      <rgbColor rgb="FF77933C"/>
      <rgbColor rgb="FF800080"/>
      <rgbColor rgb="FF008080"/>
      <rgbColor rgb="FFC0C0C0"/>
      <rgbColor rgb="FF808080"/>
      <rgbColor rgb="FF9999FF"/>
      <rgbColor rgb="FF984807"/>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F2F2F2"/>
      <rgbColor rgb="FFCCFFCC"/>
      <rgbColor rgb="FFFFFF99"/>
      <rgbColor rgb="FF99CCFF"/>
      <rgbColor rgb="FFFF99CC"/>
      <rgbColor rgb="FFCC99FF"/>
      <rgbColor rgb="FFFFCC99"/>
      <rgbColor rgb="FF3366FF"/>
      <rgbColor rgb="FF33CCCC"/>
      <rgbColor rgb="FFFA7D00"/>
      <rgbColor rgb="FFFFCC00"/>
      <rgbColor rgb="FFFF9900"/>
      <rgbColor rgb="FFFF6600"/>
      <rgbColor rgb="FF7F7F7F"/>
      <rgbColor rgb="FF969696"/>
      <rgbColor rgb="FF003366"/>
      <rgbColor rgb="FF339966"/>
      <rgbColor rgb="FF003300"/>
      <rgbColor rgb="FF3F3F3F"/>
      <rgbColor rgb="FF993300"/>
      <rgbColor rgb="FF3F3F76"/>
      <rgbColor rgb="FF333399"/>
      <rgbColor rgb="FF333333"/>
      <rgbColor rgb="00003366"/>
      <rgbColor rgb="00339966"/>
      <rgbColor rgb="00003300"/>
      <rgbColor rgb="00333300"/>
      <rgbColor rgb="00993300"/>
      <rgbColor rgb="00993366"/>
      <rgbColor rgb="00333399"/>
      <rgbColor rgb="00333333"/>
    </indexed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34"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33" Type="http://schemas.openxmlformats.org/officeDocument/2006/relationships/customXml" Target="../customXml/item4.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onnections" Target="connections.xml"/><Relationship Id="rId32"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28" Type="http://schemas.microsoft.com/office/2017/10/relationships/person" Target="persons/perso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eetMetadata" Target="metadata.xml"/><Relationship Id="rId30" Type="http://schemas.openxmlformats.org/officeDocument/2006/relationships/customXml" Target="../customXml/item1.xml"/><Relationship Id="rId8" Type="http://schemas.openxmlformats.org/officeDocument/2006/relationships/worksheet" Target="worksheets/sheet8.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image" Target="cid:AAE983DE-7DF6-4A70-9747-789E40BDCBA2" TargetMode="External"/><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1821656</xdr:colOff>
      <xdr:row>0</xdr:row>
      <xdr:rowOff>107156</xdr:rowOff>
    </xdr:from>
    <xdr:to>
      <xdr:col>0</xdr:col>
      <xdr:colOff>7394416</xdr:colOff>
      <xdr:row>0</xdr:row>
      <xdr:rowOff>2591276</xdr:rowOff>
    </xdr:to>
    <xdr:pic>
      <xdr:nvPicPr>
        <xdr:cNvPr id="5" name="Picture 4">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1821656" y="107156"/>
          <a:ext cx="5572760" cy="248412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2105025</xdr:colOff>
          <xdr:row>1</xdr:row>
          <xdr:rowOff>47625</xdr:rowOff>
        </xdr:from>
        <xdr:to>
          <xdr:col>2</xdr:col>
          <xdr:colOff>3409950</xdr:colOff>
          <xdr:row>3</xdr:row>
          <xdr:rowOff>104775</xdr:rowOff>
        </xdr:to>
        <xdr:sp macro="" textlink="">
          <xdr:nvSpPr>
            <xdr:cNvPr id="281602" name="Button 2" hidden="1">
              <a:extLst>
                <a:ext uri="{63B3BB69-23CF-44E3-9099-C40C66FF867C}">
                  <a14:compatExt spid="_x0000_s281602"/>
                </a:ext>
                <a:ext uri="{FF2B5EF4-FFF2-40B4-BE49-F238E27FC236}">
                  <a16:creationId xmlns:a16="http://schemas.microsoft.com/office/drawing/2014/main" id="{00000000-0008-0000-0600-0000024C04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de-DE" sz="1100" b="1" i="0" u="none" strike="noStrike" baseline="0">
                  <a:solidFill>
                    <a:srgbClr val="000000"/>
                  </a:solidFill>
                  <a:latin typeface="Calibri"/>
                  <a:ea typeface="Calibri"/>
                  <a:cs typeface="Calibri"/>
                </a:rPr>
                <a:t>Clear all </a:t>
              </a:r>
            </a:p>
            <a:p>
              <a:pPr algn="ctr" rtl="0">
                <a:defRPr sz="1000"/>
              </a:pPr>
              <a:r>
                <a:rPr lang="de-DE" sz="1100" b="1" i="0" u="none" strike="noStrike" baseline="0">
                  <a:solidFill>
                    <a:srgbClr val="000000"/>
                  </a:solidFill>
                  <a:latin typeface="Calibri"/>
                  <a:ea typeface="Calibri"/>
                  <a:cs typeface="Calibri"/>
                </a:rPr>
                <a:t>application data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2105025</xdr:colOff>
          <xdr:row>18</xdr:row>
          <xdr:rowOff>47625</xdr:rowOff>
        </xdr:from>
        <xdr:to>
          <xdr:col>2</xdr:col>
          <xdr:colOff>3305175</xdr:colOff>
          <xdr:row>19</xdr:row>
          <xdr:rowOff>190500</xdr:rowOff>
        </xdr:to>
        <xdr:sp macro="" textlink="">
          <xdr:nvSpPr>
            <xdr:cNvPr id="281607" name="Button 7" hidden="1">
              <a:extLst>
                <a:ext uri="{63B3BB69-23CF-44E3-9099-C40C66FF867C}">
                  <a14:compatExt spid="_x0000_s281607"/>
                </a:ext>
                <a:ext uri="{FF2B5EF4-FFF2-40B4-BE49-F238E27FC236}">
                  <a16:creationId xmlns:a16="http://schemas.microsoft.com/office/drawing/2014/main" id="{00000000-0008-0000-0600-0000074C04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de-DE" sz="1100" b="1" i="0" u="none" strike="noStrike" baseline="0">
                  <a:solidFill>
                    <a:srgbClr val="000000"/>
                  </a:solidFill>
                  <a:latin typeface="Calibri"/>
                  <a:ea typeface="Calibri"/>
                  <a:cs typeface="Calibri"/>
                </a:rPr>
                <a:t>Clear all A.S. data</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38100</xdr:colOff>
          <xdr:row>12</xdr:row>
          <xdr:rowOff>28575</xdr:rowOff>
        </xdr:from>
        <xdr:to>
          <xdr:col>2</xdr:col>
          <xdr:colOff>228600</xdr:colOff>
          <xdr:row>12</xdr:row>
          <xdr:rowOff>361950</xdr:rowOff>
        </xdr:to>
        <xdr:sp macro="" textlink="">
          <xdr:nvSpPr>
            <xdr:cNvPr id="303105" name="Button 1" hidden="1">
              <a:extLst>
                <a:ext uri="{63B3BB69-23CF-44E3-9099-C40C66FF867C}">
                  <a14:compatExt spid="_x0000_s303105"/>
                </a:ext>
                <a:ext uri="{FF2B5EF4-FFF2-40B4-BE49-F238E27FC236}">
                  <a16:creationId xmlns:a16="http://schemas.microsoft.com/office/drawing/2014/main" id="{00000000-0008-0000-0A00-000001A004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de-DE" sz="1000" b="1" i="0" u="none" strike="noStrike" baseline="0">
                  <a:solidFill>
                    <a:srgbClr val="000000"/>
                  </a:solidFill>
                  <a:latin typeface="Arial"/>
                  <a:cs typeface="Arial"/>
                </a:rPr>
                <a:t>Reset to default PPE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295275</xdr:colOff>
          <xdr:row>12</xdr:row>
          <xdr:rowOff>28575</xdr:rowOff>
        </xdr:from>
        <xdr:to>
          <xdr:col>3</xdr:col>
          <xdr:colOff>485775</xdr:colOff>
          <xdr:row>12</xdr:row>
          <xdr:rowOff>361950</xdr:rowOff>
        </xdr:to>
        <xdr:sp macro="" textlink="">
          <xdr:nvSpPr>
            <xdr:cNvPr id="303112" name="Button 8" hidden="1">
              <a:extLst>
                <a:ext uri="{63B3BB69-23CF-44E3-9099-C40C66FF867C}">
                  <a14:compatExt spid="_x0000_s303112"/>
                </a:ext>
                <a:ext uri="{FF2B5EF4-FFF2-40B4-BE49-F238E27FC236}">
                  <a16:creationId xmlns:a16="http://schemas.microsoft.com/office/drawing/2014/main" id="{00000000-0008-0000-0A00-000008A004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de-DE" sz="1000" b="1" i="0" u="none" strike="noStrike" baseline="0">
                  <a:solidFill>
                    <a:srgbClr val="000000"/>
                  </a:solidFill>
                  <a:latin typeface="Arial"/>
                  <a:cs typeface="Arial"/>
                </a:rPr>
                <a:t>Show/hide details</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38100</xdr:colOff>
          <xdr:row>10</xdr:row>
          <xdr:rowOff>66675</xdr:rowOff>
        </xdr:from>
        <xdr:to>
          <xdr:col>1</xdr:col>
          <xdr:colOff>1409700</xdr:colOff>
          <xdr:row>10</xdr:row>
          <xdr:rowOff>400050</xdr:rowOff>
        </xdr:to>
        <xdr:sp macro="" textlink="">
          <xdr:nvSpPr>
            <xdr:cNvPr id="225283" name="Button 3" hidden="1">
              <a:extLst>
                <a:ext uri="{63B3BB69-23CF-44E3-9099-C40C66FF867C}">
                  <a14:compatExt spid="_x0000_s225283"/>
                </a:ext>
                <a:ext uri="{FF2B5EF4-FFF2-40B4-BE49-F238E27FC236}">
                  <a16:creationId xmlns:a16="http://schemas.microsoft.com/office/drawing/2014/main" id="{00000000-0008-0000-0B00-0000037003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de-DE" sz="1000" b="1" i="0" u="none" strike="noStrike" baseline="0">
                  <a:solidFill>
                    <a:srgbClr val="000000"/>
                  </a:solidFill>
                  <a:latin typeface="Arial"/>
                  <a:cs typeface="Arial"/>
                </a:rPr>
                <a:t>Remove all PPE</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57150</xdr:colOff>
          <xdr:row>44</xdr:row>
          <xdr:rowOff>19050</xdr:rowOff>
        </xdr:from>
        <xdr:to>
          <xdr:col>0</xdr:col>
          <xdr:colOff>2105025</xdr:colOff>
          <xdr:row>45</xdr:row>
          <xdr:rowOff>142875</xdr:rowOff>
        </xdr:to>
        <xdr:sp macro="" textlink="">
          <xdr:nvSpPr>
            <xdr:cNvPr id="149505" name="Button 1" hidden="1">
              <a:extLst>
                <a:ext uri="{63B3BB69-23CF-44E3-9099-C40C66FF867C}">
                  <a14:compatExt spid="_x0000_s149505"/>
                </a:ext>
                <a:ext uri="{FF2B5EF4-FFF2-40B4-BE49-F238E27FC236}">
                  <a16:creationId xmlns:a16="http://schemas.microsoft.com/office/drawing/2014/main" id="{00000000-0008-0000-0D00-0000014802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de-DE" sz="1200" b="1" i="0" u="none" strike="noStrike" baseline="0">
                  <a:solidFill>
                    <a:srgbClr val="000000"/>
                  </a:solidFill>
                  <a:latin typeface="Arial"/>
                  <a:cs typeface="Arial"/>
                </a:rPr>
                <a:t>Safe re-entry interval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1209675</xdr:colOff>
          <xdr:row>11</xdr:row>
          <xdr:rowOff>95250</xdr:rowOff>
        </xdr:from>
        <xdr:to>
          <xdr:col>0</xdr:col>
          <xdr:colOff>2543175</xdr:colOff>
          <xdr:row>13</xdr:row>
          <xdr:rowOff>28575</xdr:rowOff>
        </xdr:to>
        <xdr:sp macro="" textlink="">
          <xdr:nvSpPr>
            <xdr:cNvPr id="149506" name="Button 2" hidden="1">
              <a:extLst>
                <a:ext uri="{63B3BB69-23CF-44E3-9099-C40C66FF867C}">
                  <a14:compatExt spid="_x0000_s149506"/>
                </a:ext>
                <a:ext uri="{FF2B5EF4-FFF2-40B4-BE49-F238E27FC236}">
                  <a16:creationId xmlns:a16="http://schemas.microsoft.com/office/drawing/2014/main" id="{00000000-0008-0000-0D00-0000024802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de-DE" sz="1100" b="0" i="0" u="none" strike="noStrike" baseline="0">
                  <a:solidFill>
                    <a:srgbClr val="000000"/>
                  </a:solidFill>
                  <a:latin typeface="Calibri"/>
                  <a:ea typeface="Calibri"/>
                  <a:cs typeface="Calibri"/>
                </a:rPr>
                <a:t>Reset DT50</a:t>
              </a:r>
            </a:p>
          </xdr:txBody>
        </xdr:sp>
        <xdr:clientData fPrintsWithSheet="0"/>
      </xdr:twoCellAnchor>
    </mc:Choice>
    <mc:Fallback/>
  </mc:AlternateContent>
</xdr:wsDr>
</file>

<file path=xl/persons/person.xml><?xml version="1.0" encoding="utf-8"?>
<personList xmlns="http://schemas.microsoft.com/office/spreadsheetml/2018/threadedcomments" xmlns:x="http://schemas.openxmlformats.org/spreadsheetml/2006/main">
  <person displayName="Volker Mostert" id="{840EC263-0650-4390-BAD9-5187049CDC37}" userId="bfad368052b002f9" providerId="Windows Live"/>
</personList>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ExterneDaten_11" connectionId="21" xr16:uid="{6F353F4E-16DC-4BF4-B9D1-D2BE0255BC5A}" autoFormatId="16" applyNumberFormats="0" applyBorderFormats="0" applyFontFormats="0" applyPatternFormats="0" applyAlignmentFormats="0" applyWidthHeightFormats="0">
  <queryTableRefresh nextId="9" unboundColumnsLeft="1">
    <queryTableFields count="7">
      <queryTableField id="7" dataBound="0" tableColumnId="7"/>
      <queryTableField id="1" name="Column1" tableColumnId="1"/>
      <queryTableField id="2" name="Column2" tableColumnId="2"/>
      <queryTableField id="3" name="Column3" tableColumnId="3"/>
      <queryTableField id="4" name="Column4" tableColumnId="4"/>
      <queryTableField id="5" name="Column5" tableColumnId="5"/>
      <queryTableField id="6" name="Column6" tableColumnId="6"/>
    </queryTableFields>
  </queryTableRefresh>
</queryTable>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ExterneDaten_10" connectionId="19" xr16:uid="{3152F40B-424A-49BB-B566-3117E338E119}" autoFormatId="16" applyNumberFormats="0" applyBorderFormats="0" applyFontFormats="0" applyPatternFormats="0" applyAlignmentFormats="0" applyWidthHeightFormats="0">
  <queryTableRefresh nextId="9" unboundColumnsLeft="1">
    <queryTableFields count="7">
      <queryTableField id="7" dataBound="0" tableColumnId="7"/>
      <queryTableField id="1" name="Column1" tableColumnId="1"/>
      <queryTableField id="2" name="Column2" tableColumnId="2"/>
      <queryTableField id="3" name="Column3" tableColumnId="3"/>
      <queryTableField id="4" name="Column4" tableColumnId="4"/>
      <queryTableField id="5" name="Column5" tableColumnId="5"/>
      <queryTableField id="6" name="Column6" tableColumnId="6"/>
    </queryTableFields>
  </queryTableRefresh>
</queryTable>
</file>

<file path=xl/queryTables/queryTable3.xml><?xml version="1.0" encoding="utf-8"?>
<queryTable xmlns="http://schemas.openxmlformats.org/spreadsheetml/2006/main" xmlns:mc="http://schemas.openxmlformats.org/markup-compatibility/2006" xmlns:xr16="http://schemas.microsoft.com/office/spreadsheetml/2017/revision16" mc:Ignorable="xr16" name="ExterneDaten_12" connectionId="23" xr16:uid="{4746F291-8BB8-40A4-84DB-B04615EEED1F}" autoFormatId="16" applyNumberFormats="0" applyBorderFormats="0" applyFontFormats="0" applyPatternFormats="0" applyAlignmentFormats="0" applyWidthHeightFormats="0">
  <queryTableRefresh nextId="9" unboundColumnsLeft="1">
    <queryTableFields count="7">
      <queryTableField id="7" dataBound="0" tableColumnId="7"/>
      <queryTableField id="1" name="Column1" tableColumnId="1"/>
      <queryTableField id="2" name="Column2" tableColumnId="2"/>
      <queryTableField id="3" name="Column3" tableColumnId="3"/>
      <queryTableField id="4" name="Column4" tableColumnId="4"/>
      <queryTableField id="5" name="Column5" tableColumnId="5"/>
      <queryTableField id="6" name="Column6" tableColumnId="6"/>
    </queryTableFields>
  </queryTableRefresh>
</queryTable>
</file>

<file path=xl/queryTables/queryTable4.xml><?xml version="1.0" encoding="utf-8"?>
<queryTable xmlns="http://schemas.openxmlformats.org/spreadsheetml/2006/main" xmlns:mc="http://schemas.openxmlformats.org/markup-compatibility/2006" xmlns:xr16="http://schemas.microsoft.com/office/spreadsheetml/2017/revision16" mc:Ignorable="xr16" name="ExterneDaten_9" connectionId="18" xr16:uid="{2331C482-D4A4-4F96-B165-52DE3C891DB0}" autoFormatId="16" applyNumberFormats="0" applyBorderFormats="0" applyFontFormats="0" applyPatternFormats="0" applyAlignmentFormats="0" applyWidthHeightFormats="0">
  <queryTableRefresh nextId="9" unboundColumnsLeft="1">
    <queryTableFields count="7">
      <queryTableField id="7" dataBound="0" tableColumnId="7"/>
      <queryTableField id="1" name="Column1" tableColumnId="1"/>
      <queryTableField id="2" name="Column2" tableColumnId="2"/>
      <queryTableField id="3" name="Column3" tableColumnId="3"/>
      <queryTableField id="4" name="Column4" tableColumnId="4"/>
      <queryTableField id="5" name="Column5" tableColumnId="5"/>
      <queryTableField id="6" name="Column6" tableColumnId="6"/>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_rels/table2.xml.rels><?xml version="1.0" encoding="UTF-8" standalone="yes"?>
<Relationships xmlns="http://schemas.openxmlformats.org/package/2006/relationships"><Relationship Id="rId1" Type="http://schemas.openxmlformats.org/officeDocument/2006/relationships/queryTable" Target="../queryTables/queryTable2.xml"/></Relationships>
</file>

<file path=xl/tables/_rels/table3.xml.rels><?xml version="1.0" encoding="UTF-8" standalone="yes"?>
<Relationships xmlns="http://schemas.openxmlformats.org/package/2006/relationships"><Relationship Id="rId1" Type="http://schemas.openxmlformats.org/officeDocument/2006/relationships/queryTable" Target="../queryTables/queryTable3.xml"/></Relationships>
</file>

<file path=xl/tables/_rels/table4.xml.rels><?xml version="1.0" encoding="UTF-8" standalone="yes"?>
<Relationships xmlns="http://schemas.openxmlformats.org/package/2006/relationships"><Relationship Id="rId1" Type="http://schemas.openxmlformats.org/officeDocument/2006/relationships/queryTable" Target="../queryTables/queryTable4.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EAA48B37-068D-401C-B160-FF966BE5B11C}" name="opex_indoor75_hm" displayName="opex_indoor75_hm" ref="A1:G59" tableType="queryTable" totalsRowShown="0">
  <autoFilter ref="A1:G59" xr:uid="{274030D3-756A-4A29-88F8-58376CB145BD}"/>
  <tableColumns count="7">
    <tableColumn id="7" xr3:uid="{2361C30A-F00A-48F6-B9C1-000278FAB186}" uniqueName="7" name="Column12" queryTableFieldId="7"/>
    <tableColumn id="1" xr3:uid="{23F71DDB-EFEF-4118-97C1-F24FD5EAE465}" uniqueName="1" name="Column1" queryTableFieldId="1" dataDxfId="5868"/>
    <tableColumn id="2" xr3:uid="{E1B11FE9-F0D7-4971-B546-25A631CE0203}" uniqueName="2" name="Column2" queryTableFieldId="2" dataDxfId="5867"/>
    <tableColumn id="3" xr3:uid="{1BFE6BE5-107C-4F59-89B1-9815F00C1004}" uniqueName="3" name="Column3" queryTableFieldId="3" dataDxfId="5866"/>
    <tableColumn id="4" xr3:uid="{B60668AD-52A8-4F5E-B692-A8196084A016}" uniqueName="4" name="Column4" queryTableFieldId="4" dataDxfId="5865"/>
    <tableColumn id="5" xr3:uid="{13D3B800-D00F-4A77-8608-1C4F23DA1483}" uniqueName="5" name="Column5" queryTableFieldId="5" dataDxfId="5864"/>
    <tableColumn id="6" xr3:uid="{F5EA16E9-04E3-4213-B217-CD89D934DA9D}" uniqueName="6" name="Column6" queryTableFieldId="6" dataDxfId="5863"/>
  </tableColumns>
  <tableStyleInfo name="TableStyleMedium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8D0B3B17-44F3-4141-B8D7-BB9742817A8E}" name="opex_AOEM95_hm" displayName="opex_AOEM95_hm" ref="A1:G59" tableType="queryTable" totalsRowShown="0">
  <autoFilter ref="A1:G59" xr:uid="{8D0B3B17-44F3-4141-B8D7-BB9742817A8E}"/>
  <tableColumns count="7">
    <tableColumn id="7" xr3:uid="{0C508547-C5DD-4174-8C84-C781864A8BFC}" uniqueName="7" name="Column7" queryTableFieldId="7" dataDxfId="5862"/>
    <tableColumn id="1" xr3:uid="{788684A3-A294-406E-A935-A78B91EBA808}" uniqueName="1" name="Column1" queryTableFieldId="1" dataDxfId="5861"/>
    <tableColumn id="2" xr3:uid="{4248FB1F-2903-4813-B150-8C03B3790477}" uniqueName="2" name="Column2" queryTableFieldId="2" dataDxfId="5860"/>
    <tableColumn id="3" xr3:uid="{3B11894D-F144-44E7-8A93-92A12C9683B0}" uniqueName="3" name="Column3" queryTableFieldId="3" dataDxfId="5859"/>
    <tableColumn id="4" xr3:uid="{E0E976E2-E96E-4196-B60F-C6A307A37CB5}" uniqueName="4" name="Column4" queryTableFieldId="4" dataDxfId="5858"/>
    <tableColumn id="5" xr3:uid="{5840E43E-968B-44BC-B72E-7754A7A1CDC7}" uniqueName="5" name="Column5" queryTableFieldId="5" dataDxfId="5857"/>
    <tableColumn id="6" xr3:uid="{1623293C-B5BA-4E48-9B81-61BA6D06AA1B}" uniqueName="6" name="Column6" queryTableFieldId="6" dataDxfId="5856"/>
  </tableColumns>
  <tableStyleInfo name="TableStyleMedium7"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1933B827-CB96-43DD-B858-1F26F3D02C94}" name="opex_indoor95_hm" displayName="opex_indoor95_hm" ref="A1:G59" tableType="queryTable" totalsRowShown="0">
  <autoFilter ref="A1:G59" xr:uid="{489CA127-9D6A-4B17-8103-065C0001DA79}"/>
  <tableColumns count="7">
    <tableColumn id="7" xr3:uid="{5B8C8571-F3E1-42B0-83B7-9493BF9265A2}" uniqueName="7" name="Column12" queryTableFieldId="7"/>
    <tableColumn id="1" xr3:uid="{D1FE0A60-3A4F-461D-8EF4-A9E9D097DB1E}" uniqueName="1" name="Column1" queryTableFieldId="1" dataDxfId="5855"/>
    <tableColumn id="2" xr3:uid="{611400DF-5C4A-4C34-8A37-E2D563D4091B}" uniqueName="2" name="Column2" queryTableFieldId="2" dataDxfId="5854"/>
    <tableColumn id="3" xr3:uid="{CAC5AED6-E772-4305-AF29-E0D812AE1260}" uniqueName="3" name="Column3" queryTableFieldId="3" dataDxfId="5853"/>
    <tableColumn id="4" xr3:uid="{56902532-5A03-4FBB-8694-BE4FCB688A41}" uniqueName="4" name="Column4" queryTableFieldId="4" dataDxfId="5852"/>
    <tableColumn id="5" xr3:uid="{BF27271C-7EFB-4CF9-B447-EDFE623B35A5}" uniqueName="5" name="Column5" queryTableFieldId="5" dataDxfId="5851"/>
    <tableColumn id="6" xr3:uid="{8D4DD807-B1BE-4F18-AE27-139A094EC78C}" uniqueName="6" name="Column6" queryTableFieldId="6" dataDxfId="5850"/>
  </tableColumns>
  <tableStyleInfo name="TableStyleMedium7"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BE5F67D4-622D-439F-8173-CF5EC826489F}" name="opex_AOEM75_hm" displayName="opex_AOEM75_hm" ref="A1:G59" tableType="queryTable" totalsRowShown="0">
  <autoFilter ref="A1:G59" xr:uid="{B78A562B-BB08-4F54-BF3A-6375E4CC9BE7}"/>
  <tableColumns count="7">
    <tableColumn id="7" xr3:uid="{201DB41F-950C-488C-A788-CEE082235374}" uniqueName="7" name="Column7" queryTableFieldId="7" dataDxfId="5849"/>
    <tableColumn id="1" xr3:uid="{0DC852D7-7296-449C-8A7C-17BBC3A700BB}" uniqueName="1" name="Column1" queryTableFieldId="1" dataDxfId="5848"/>
    <tableColumn id="2" xr3:uid="{D4DF0056-49A0-45D4-BF20-57E1035316F7}" uniqueName="2" name="Column2" queryTableFieldId="2" dataDxfId="5847"/>
    <tableColumn id="3" xr3:uid="{732472C3-4D0C-47B7-839E-D09F5CFB9FB7}" uniqueName="3" name="Column3" queryTableFieldId="3" dataDxfId="5846"/>
    <tableColumn id="4" xr3:uid="{EF463897-4305-40C7-A451-B1C88590924D}" uniqueName="4" name="Column4" queryTableFieldId="4" dataDxfId="5845"/>
    <tableColumn id="5" xr3:uid="{FF11346C-DD8D-41A8-8827-66EE3AFF1154}" uniqueName="5" name="Column5" queryTableFieldId="5" dataDxfId="5844"/>
    <tableColumn id="6" xr3:uid="{078443DE-E8A3-499E-B8F0-E2C04F772B80}" uniqueName="6" name="Column6" queryTableFieldId="6" dataDxfId="5843"/>
  </tableColumns>
  <tableStyleInfo name="TableStyleMedium7"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EE8CA5EB-AD42-4432-A811-9150FA2FAF5F}" name="Tabelle2123" displayName="Tabelle2123" ref="A2:V326" totalsRowShown="0" headerRowDxfId="4594" dataDxfId="4593" headerRowCellStyle="Normal 2">
  <autoFilter ref="A2:V326" xr:uid="{76AC003C-4858-4A30-BEA6-CCC561D1B7FD}"/>
  <tableColumns count="22">
    <tableColumn id="1" xr3:uid="{9DB572B1-8529-470E-86D0-61DD9D63DD79}" name="Match AOEM" dataDxfId="4592">
      <calculatedColumnFormula>B3&amp;C3&amp;D3&amp;E3&amp;F3</calculatedColumnFormula>
    </tableColumn>
    <tableColumn id="2" xr3:uid="{E4C6C67D-5A79-4F6C-9E34-E9E71C3B8D80}" name="Outdoor/Indoor" dataDxfId="4591"/>
    <tableColumn id="3" xr3:uid="{7FB78B2B-9861-4CC4-AC33-CF881A29725A}" name="Formulation type" dataDxfId="4590"/>
    <tableColumn id="4" xr3:uid="{52DCD97C-3335-4AF3-8B11-09D35C84073D}" name="Application method" dataDxfId="4589"/>
    <tableColumn id="5" xr3:uid="{CA9343C4-EFB5-4A0A-8BD7-29903B8B4F16}" name="Application equipment" dataDxfId="4588"/>
    <tableColumn id="6" xr3:uid="{A1FAB86C-0FDC-4508-A682-B936849FB925}" name="Type of exposure" dataDxfId="4587"/>
    <tableColumn id="7" xr3:uid="{01C0BE9B-316E-43CC-8CAD-F34A71FA6D0E}" name="ML 75th Intercept" dataDxfId="4586"/>
    <tableColumn id="8" xr3:uid="{1F3ADD35-C767-42CE-8537-DDDF18FF5662}" name="ML 75th Applied Amount Factor" dataDxfId="4585"/>
    <tableColumn id="9" xr3:uid="{6F83754C-171F-479C-95EF-BD2A85FEB244}" name="ML 75th Scenario Factor" dataDxfId="4584"/>
    <tableColumn id="10" xr3:uid="{818B5E23-54A4-4FCF-98CF-2C71396C8562}" name="ML 75th Percentile AOEM" dataDxfId="4583"/>
    <tableColumn id="11" xr3:uid="{F8F2EC9A-5AA2-4F9C-832A-4F1B67690DC1}" name="ML 95th Intercept" dataDxfId="4582"/>
    <tableColumn id="12" xr3:uid="{E2282AD1-47BF-4509-8019-585DF21751EE}" name="ML 95th Applied Amount Factor" dataDxfId="4581"/>
    <tableColumn id="13" xr3:uid="{4D2DE60C-45C3-4FCD-8F68-56352402DA37}" name="ML 95th Scenario Factor" dataDxfId="4580"/>
    <tableColumn id="14" xr3:uid="{BABBBFED-7C31-425E-9C0B-C77222D902D8}" name="ML 95th Percentile AOEM" dataDxfId="4579"/>
    <tableColumn id="15" xr3:uid="{2B352A08-6108-4E67-9252-4C3F381BAE44}" name="Application 75th Intercept" dataDxfId="4578"/>
    <tableColumn id="16" xr3:uid="{4B15BEAB-E5CB-4507-9E93-89CB5AFE6133}" name="Application 75th Applied Amount Factor" dataDxfId="4577"/>
    <tableColumn id="17" xr3:uid="{DB918159-F0D8-4171-964B-754B02B9C4A8}" name="Application 75th Scenario Factor" dataDxfId="4576"/>
    <tableColumn id="18" xr3:uid="{074603AA-94BF-4B18-9686-E1D988E66EA8}" name="Application 75th Percentile AOEM" dataDxfId="4575"/>
    <tableColumn id="19" xr3:uid="{8B8ACB2A-AF3D-4ED8-BE30-B58C9F8C76A1}" name="Application 95th Intercept" dataDxfId="4574"/>
    <tableColumn id="20" xr3:uid="{FAB0CD90-258C-43B2-A4CA-35D02D20E546}" name="Application 95th Applied Amount Factor" dataDxfId="4573"/>
    <tableColumn id="21" xr3:uid="{0DA71185-02B6-47BE-B186-D8D260BC931A}" name="Application 95th Scenario Factor" dataDxfId="4572"/>
    <tableColumn id="22" xr3:uid="{6FE810CA-AF55-459F-8A02-AE12E7D8A80E}" name="Application 95th Percentile AOEM" dataDxfId="4571"/>
  </tableColumns>
  <tableStyleInfo name="TableStyleMedium7"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568F9952-D798-4507-8D11-D76549C4BC6C}" name="Tabelle5" displayName="Tabelle5" ref="A2:N134" totalsRowShown="0">
  <autoFilter ref="A2:N134" xr:uid="{568F9952-D798-4507-8D11-D76549C4BC6C}">
    <filterColumn colId="1">
      <filters>
        <filter val="High ornamentals"/>
        <filter val="Low ornamentals"/>
      </filters>
    </filterColumn>
  </autoFilter>
  <sortState xmlns:xlrd2="http://schemas.microsoft.com/office/spreadsheetml/2017/richdata2" ref="A3:N128">
    <sortCondition ref="B2:B128"/>
  </sortState>
  <tableColumns count="14">
    <tableColumn id="1" xr3:uid="{2D6777C7-9200-44DA-A7C4-17FB473377ED}" name="sys_keyworker" dataDxfId="3358">
      <calculatedColumnFormula>Tabelle5[[#This Row],[Crop]]&amp;Tabelle5[[#This Row],[Activity]]&amp;Tabelle5[[#This Row],[ActivityTSF]]&amp;Tabelle5[[#This Row],[productCategory]]</calculatedColumnFormula>
    </tableColumn>
    <tableColumn id="2" xr3:uid="{C7888B7F-5362-421E-A712-FED356BB849D}" name="Crop"/>
    <tableColumn id="14" xr3:uid="{944A2262-8A50-45D4-B0F3-F14CE49FDEB4}" name="CropGroup"/>
    <tableColumn id="3" xr3:uid="{77422898-9DEA-4E85-8B17-024727D14EA2}" name="Activity"/>
    <tableColumn id="4" xr3:uid="{4E55C7EB-F7F8-441E-8B43-7E4114AAF728}" name="ActivityTSF"/>
    <tableColumn id="5" xr3:uid="{329CDCF6-48BD-4753-AE8F-13477C4D2CEF}" name="h"/>
    <tableColumn id="6" xr3:uid="{D24E03B8-3483-4827-96B7-CEF3ED308905}" name="bodyPartsInvolved"/>
    <tableColumn id="7" xr3:uid="{1026624D-AE8E-4A8A-A9BC-B1A810F32AD9}" name="potentialExpo" dataDxfId="3357"/>
    <tableColumn id="8" xr3:uid="{209D8119-CA4E-4708-8DDD-6D53308CDF59}" name="workwear" dataDxfId="3356"/>
    <tableColumn id="9" xr3:uid="{3802A15D-3BC5-46D2-8443-A6D2CACCB95F}" name="workwearGloves" dataDxfId="3355"/>
    <tableColumn id="10" xr3:uid="{CC2C0B2D-ACBF-4231-B9D3-AD2B4A4B5B46}" name="gloves"/>
    <tableColumn id="11" xr3:uid="{E7726965-F8EA-4EF8-988F-AA12842AC52E}" name="indoor"/>
    <tableColumn id="12" xr3:uid="{E8B0519F-0DDB-4DD1-98DF-4C12D9C06D9A}" name="productCategory"/>
    <tableColumn id="13" xr3:uid="{F908FC35-CBC2-4183-9CD2-FC0282DE44DF}" name="TSF"/>
  </tableColumns>
  <tableStyleInfo name="TableStyleMedium7"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4C5E3845-C790-4312-8B31-94B59D8C3F71}" name="Tabelle27" displayName="Tabelle27" ref="A2:N14" totalsRowShown="0" headerRowDxfId="3354" dataDxfId="3353" headerRowCellStyle="Normal 2" dataCellStyle="Normal 2">
  <autoFilter ref="A2:N14" xr:uid="{00000000-0009-0000-0000-00000F000000}"/>
  <tableColumns count="14">
    <tableColumn id="1" xr3:uid="{090A580F-DE60-4714-9C63-FD0623BE46C2}" name="Match MixLoad" dataDxfId="3352" dataCellStyle="Normal 2">
      <calculatedColumnFormula>B3&amp;C3&amp;D3&amp;E3&amp;F3</calculatedColumnFormula>
    </tableColumn>
    <tableColumn id="2" xr3:uid="{987071C2-E44C-44DB-B732-8A1FEBE823EB}" name="Outdoor/Indoor" dataDxfId="3351" dataCellStyle="Normal 2"/>
    <tableColumn id="3" xr3:uid="{202014DE-CD05-41FA-8ACA-0ABC2134F53E}" name="Formulation type" dataDxfId="3350" dataCellStyle="Normal 2"/>
    <tableColumn id="4" xr3:uid="{CBC12431-0BBA-4306-BB08-F50B187168B5}" name="Application method" dataDxfId="3349" dataCellStyle="Normal 2"/>
    <tableColumn id="5" xr3:uid="{E63CFAF4-BB9E-47DD-9CB3-4F022E36F247}" name="Application equipment" dataDxfId="3348" dataCellStyle="Normal 2"/>
    <tableColumn id="6" xr3:uid="{F47F1264-7933-4FF7-92B4-36744C1DAAA0}" name="Type of exposure" dataDxfId="3347" dataCellStyle="Normal 2"/>
    <tableColumn id="7" xr3:uid="{6D0A15F5-44D5-4B5E-9BA7-7976D7DEE742}" name="Mixing &amp; Loading 75th percentile" dataDxfId="3346" dataCellStyle="Normal 2"/>
    <tableColumn id="8" xr3:uid="{94B392AC-FCB0-4BF6-A849-625FC2D0D4CD}" name="Mixing &amp; Loading 95th percentile" dataDxfId="3345" dataCellStyle="Normal 2"/>
    <tableColumn id="9" xr3:uid="{BC426937-42A6-43CC-9B84-7F74D55EF4CC}" name="Mixing &amp; Loading Comments" dataDxfId="3344" dataCellStyle="Normal 2"/>
    <tableColumn id="10" xr3:uid="{D8FA4D7F-3DAD-4900-839B-551CB1C36DBD}" name="Mixing &amp; Loading Model" dataDxfId="3343" dataCellStyle="Normal 2"/>
    <tableColumn id="11" xr3:uid="{5070EF4E-070F-4556-A0D2-E8A2AC702E1F}" name="Application 75th percentile" dataDxfId="3342" dataCellStyle="Normal 2"/>
    <tableColumn id="12" xr3:uid="{4C538EBD-97B4-48E3-9234-8B7DB7C90550}" name="Application 95th percentile" dataDxfId="3341" dataCellStyle="Normal 2"/>
    <tableColumn id="13" xr3:uid="{46176019-EDAA-4810-B071-C8025D833EAA}" name="Application Comments" dataDxfId="3340" dataCellStyle="Normal 2"/>
    <tableColumn id="14" xr3:uid="{62680491-CFA5-4161-BDA7-A86CD80C3414}" name="Application Model" dataDxfId="3339" dataCellStyle="Normal 2"/>
  </tableColumns>
  <tableStyleInfo name="TableStyleMedium7"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82" dT="2022-11-08T15:49:08.12" personId="{840EC263-0650-4390-BAD9-5187049CDC37}" id="{7101BFE0-4E12-4D09-B174-353A29137856}">
    <text>95th percentile for field crops</text>
  </threadedComment>
  <threadedComment ref="C82" dT="2022-11-08T15:44:37.30" personId="{840EC263-0650-4390-BAD9-5187049CDC37}" id="{63C98F37-F88F-48D1-8E90-2623713E8437}">
    <text>75th percentile for field crops</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7.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11.bin"/><Relationship Id="rId6" Type="http://schemas.openxmlformats.org/officeDocument/2006/relationships/comments" Target="../comments1.xml"/><Relationship Id="rId5" Type="http://schemas.openxmlformats.org/officeDocument/2006/relationships/ctrlProp" Target="../ctrlProps/ctrlProp4.xml"/><Relationship Id="rId4" Type="http://schemas.openxmlformats.org/officeDocument/2006/relationships/ctrlProp" Target="../ctrlProps/ctrlProp3.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12.bin"/><Relationship Id="rId4" Type="http://schemas.openxmlformats.org/officeDocument/2006/relationships/ctrlProp" Target="../ctrlProps/ctrlProp5.xml"/></Relationships>
</file>

<file path=xl/worksheets/_rels/sheet13.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4.vml"/><Relationship Id="rId1" Type="http://schemas.openxmlformats.org/officeDocument/2006/relationships/printerSettings" Target="../printerSettings/printerSettings13.bin"/><Relationship Id="rId4" Type="http://schemas.openxmlformats.org/officeDocument/2006/relationships/comments" Target="../comments2.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14.bin"/><Relationship Id="rId5" Type="http://schemas.openxmlformats.org/officeDocument/2006/relationships/ctrlProp" Target="../ctrlProps/ctrlProp7.xml"/><Relationship Id="rId4" Type="http://schemas.openxmlformats.org/officeDocument/2006/relationships/ctrlProp" Target="../ctrlProps/ctrlProp6.xml"/></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table" Target="../tables/table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6.vml"/><Relationship Id="rId1" Type="http://schemas.openxmlformats.org/officeDocument/2006/relationships/printerSettings" Target="../printerSettings/printerSettings17.bin"/><Relationship Id="rId4" Type="http://schemas.microsoft.com/office/2017/10/relationships/threadedComment" Target="../threadedComments/threadedComment1.xml"/></Relationships>
</file>

<file path=xl/worksheets/_rels/sheet18.xml.rels><?xml version="1.0" encoding="UTF-8" standalone="yes"?>
<Relationships xmlns="http://schemas.openxmlformats.org/package/2006/relationships"><Relationship Id="rId2" Type="http://schemas.openxmlformats.org/officeDocument/2006/relationships/table" Target="../tables/table7.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7.v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8.v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7B0FCB-C30F-4A2F-B18F-49E2370331C0}">
  <sheetPr codeName="Tabelle5"/>
  <dimension ref="A1:A4"/>
  <sheetViews>
    <sheetView workbookViewId="0"/>
  </sheetViews>
  <sheetFormatPr defaultColWidth="9.140625" defaultRowHeight="15"/>
  <cols>
    <col min="1" max="1" width="142.42578125" style="21" customWidth="1"/>
  </cols>
  <sheetData>
    <row r="1" spans="1:1" ht="210.75" customHeight="1"/>
    <row r="3" spans="1:1" ht="204.75" customHeight="1">
      <c r="A3" s="446" t="s">
        <v>0</v>
      </c>
    </row>
    <row r="4" spans="1:1" ht="21">
      <c r="A4" s="446" t="str">
        <f>"This version: "&amp;Instructions!A15</f>
        <v>This version: v1.7: 29 September 2026</v>
      </c>
    </row>
  </sheetData>
  <sheetProtection algorithmName="SHA-512" hashValue="lPDCkpWvi3O2GTX4veLiyffn9PJfN7HgupeY9K6rI43t3UF7c1X/at45cKGyVyk78MX0P+W9jlcORnDPQQYDyw==" saltValue="Xr/hhthR7BHzRYiIskEWMA==" spinCount="100000" sheet="1" objects="1" scenarios="1"/>
  <pageMargins left="0.7" right="0.7" top="0.75" bottom="0.75" header="0.3" footer="0.3"/>
  <pageSetup paperSize="9" orientation="portrait" r:id="rId1"/>
  <headerFooter>
    <oddFooter>&amp;C&amp;1#&amp;"Arial"&amp;10&amp;K000000---Internal Use---</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4"/>
  <dimension ref="A2:J76"/>
  <sheetViews>
    <sheetView workbookViewId="0">
      <selection activeCell="F10" sqref="F10"/>
    </sheetView>
  </sheetViews>
  <sheetFormatPr defaultColWidth="9.140625" defaultRowHeight="15"/>
  <cols>
    <col min="1" max="1" width="87.85546875" customWidth="1"/>
    <col min="10" max="10" width="38" customWidth="1"/>
  </cols>
  <sheetData>
    <row r="2" spans="1:10">
      <c r="A2" s="1" t="s">
        <v>1</v>
      </c>
    </row>
    <row r="3" spans="1:10">
      <c r="A3" s="2"/>
    </row>
    <row r="4" spans="1:10" ht="35.25" customHeight="1">
      <c r="A4" s="3" t="s">
        <v>2</v>
      </c>
    </row>
    <row r="5" spans="1:10">
      <c r="A5" s="3" t="s">
        <v>3</v>
      </c>
    </row>
    <row r="6" spans="1:10" ht="30">
      <c r="A6" s="3" t="s">
        <v>4</v>
      </c>
    </row>
    <row r="7" spans="1:10" ht="30">
      <c r="A7" s="3" t="s">
        <v>5</v>
      </c>
    </row>
    <row r="8" spans="1:10" ht="34.5" customHeight="1">
      <c r="A8" s="3" t="s">
        <v>6</v>
      </c>
    </row>
    <row r="9" spans="1:10" ht="21" customHeight="1">
      <c r="A9" s="3" t="s">
        <v>7</v>
      </c>
    </row>
    <row r="10" spans="1:10" ht="42" customHeight="1">
      <c r="A10" s="4" t="s">
        <v>8</v>
      </c>
    </row>
    <row r="12" spans="1:10" ht="60">
      <c r="A12" s="79" t="s">
        <v>9</v>
      </c>
    </row>
    <row r="14" spans="1:10" s="591" customFormat="1" ht="25.5" customHeight="1">
      <c r="A14" s="591" t="s">
        <v>10</v>
      </c>
    </row>
    <row r="15" spans="1:10" s="591" customFormat="1" ht="25.5" customHeight="1">
      <c r="A15" s="126" t="s">
        <v>11</v>
      </c>
    </row>
    <row r="16" spans="1:10" ht="32.25" customHeight="1">
      <c r="A16" s="749" t="s">
        <v>12</v>
      </c>
      <c r="B16" s="749"/>
      <c r="C16" s="749"/>
      <c r="D16" s="749"/>
      <c r="E16" s="749"/>
      <c r="F16" s="749"/>
      <c r="G16" s="749"/>
      <c r="H16" s="749"/>
      <c r="I16" s="749"/>
      <c r="J16" s="749"/>
    </row>
    <row r="17" spans="1:1">
      <c r="A17" s="576" t="s">
        <v>13</v>
      </c>
    </row>
    <row r="18" spans="1:1">
      <c r="A18" s="576" t="s">
        <v>14</v>
      </c>
    </row>
    <row r="19" spans="1:1">
      <c r="A19" s="576" t="s">
        <v>15</v>
      </c>
    </row>
    <row r="20" spans="1:1">
      <c r="A20" s="576" t="s">
        <v>16</v>
      </c>
    </row>
    <row r="21" spans="1:1">
      <c r="A21" s="576" t="s">
        <v>17</v>
      </c>
    </row>
    <row r="22" spans="1:1">
      <c r="A22" s="576" t="s">
        <v>18</v>
      </c>
    </row>
    <row r="23" spans="1:1">
      <c r="A23" s="576" t="s">
        <v>19</v>
      </c>
    </row>
    <row r="24" spans="1:1">
      <c r="A24" s="576" t="s">
        <v>20</v>
      </c>
    </row>
    <row r="25" spans="1:1">
      <c r="A25" s="576" t="s">
        <v>21</v>
      </c>
    </row>
    <row r="26" spans="1:1">
      <c r="A26" s="576"/>
    </row>
    <row r="27" spans="1:1" s="591" customFormat="1" ht="25.5" customHeight="1">
      <c r="A27" s="126" t="s">
        <v>22</v>
      </c>
    </row>
    <row r="28" spans="1:1">
      <c r="A28" s="576" t="s">
        <v>23</v>
      </c>
    </row>
    <row r="29" spans="1:1">
      <c r="A29" s="576" t="s">
        <v>24</v>
      </c>
    </row>
    <row r="30" spans="1:1">
      <c r="A30" s="576"/>
    </row>
    <row r="31" spans="1:1">
      <c r="A31" s="126" t="s">
        <v>25</v>
      </c>
    </row>
    <row r="32" spans="1:1">
      <c r="A32" s="576" t="s">
        <v>26</v>
      </c>
    </row>
    <row r="33" spans="1:1">
      <c r="A33" s="576" t="s">
        <v>27</v>
      </c>
    </row>
    <row r="34" spans="1:1">
      <c r="A34" s="576" t="s">
        <v>28</v>
      </c>
    </row>
    <row r="35" spans="1:1">
      <c r="A35" s="576" t="s">
        <v>29</v>
      </c>
    </row>
    <row r="36" spans="1:1">
      <c r="A36" s="576" t="s">
        <v>30</v>
      </c>
    </row>
    <row r="37" spans="1:1">
      <c r="A37" s="576" t="s">
        <v>31</v>
      </c>
    </row>
    <row r="38" spans="1:1">
      <c r="A38" s="576" t="s">
        <v>32</v>
      </c>
    </row>
    <row r="39" spans="1:1">
      <c r="A39" s="576" t="s">
        <v>33</v>
      </c>
    </row>
    <row r="40" spans="1:1">
      <c r="A40" s="576" t="s">
        <v>34</v>
      </c>
    </row>
    <row r="41" spans="1:1">
      <c r="A41" s="576" t="s">
        <v>35</v>
      </c>
    </row>
    <row r="42" spans="1:1">
      <c r="A42" s="576" t="s">
        <v>36</v>
      </c>
    </row>
    <row r="43" spans="1:1">
      <c r="A43" s="576" t="s">
        <v>37</v>
      </c>
    </row>
    <row r="44" spans="1:1">
      <c r="A44" s="576" t="s">
        <v>38</v>
      </c>
    </row>
    <row r="45" spans="1:1">
      <c r="A45" s="576" t="s">
        <v>39</v>
      </c>
    </row>
    <row r="46" spans="1:1">
      <c r="A46" s="576" t="s">
        <v>40</v>
      </c>
    </row>
    <row r="47" spans="1:1">
      <c r="A47" s="576" t="s">
        <v>41</v>
      </c>
    </row>
    <row r="48" spans="1:1">
      <c r="A48" s="576" t="s">
        <v>42</v>
      </c>
    </row>
    <row r="49" spans="1:1">
      <c r="A49" s="576" t="s">
        <v>43</v>
      </c>
    </row>
    <row r="50" spans="1:1">
      <c r="A50" s="576" t="s">
        <v>44</v>
      </c>
    </row>
    <row r="51" spans="1:1">
      <c r="A51" s="576" t="s">
        <v>45</v>
      </c>
    </row>
    <row r="52" spans="1:1">
      <c r="A52" s="576" t="s">
        <v>46</v>
      </c>
    </row>
    <row r="53" spans="1:1">
      <c r="A53" s="576"/>
    </row>
    <row r="54" spans="1:1">
      <c r="A54" s="126" t="s">
        <v>47</v>
      </c>
    </row>
    <row r="55" spans="1:1">
      <c r="A55" s="576" t="s">
        <v>48</v>
      </c>
    </row>
    <row r="56" spans="1:1">
      <c r="A56" s="576" t="s">
        <v>49</v>
      </c>
    </row>
    <row r="57" spans="1:1">
      <c r="A57" s="576" t="s">
        <v>50</v>
      </c>
    </row>
    <row r="58" spans="1:1">
      <c r="A58" s="576" t="s">
        <v>51</v>
      </c>
    </row>
    <row r="59" spans="1:1">
      <c r="A59" s="576" t="s">
        <v>52</v>
      </c>
    </row>
    <row r="60" spans="1:1">
      <c r="A60" s="576" t="s">
        <v>53</v>
      </c>
    </row>
    <row r="61" spans="1:1">
      <c r="A61" s="576" t="s">
        <v>54</v>
      </c>
    </row>
    <row r="62" spans="1:1">
      <c r="A62" s="576" t="s">
        <v>55</v>
      </c>
    </row>
    <row r="63" spans="1:1">
      <c r="A63" s="576" t="s">
        <v>56</v>
      </c>
    </row>
    <row r="64" spans="1:1">
      <c r="A64" s="576"/>
    </row>
    <row r="65" spans="1:1">
      <c r="A65" s="126" t="s">
        <v>57</v>
      </c>
    </row>
    <row r="66" spans="1:1">
      <c r="A66" s="576" t="s">
        <v>58</v>
      </c>
    </row>
    <row r="67" spans="1:1">
      <c r="A67" s="576" t="s">
        <v>59</v>
      </c>
    </row>
    <row r="68" spans="1:1">
      <c r="A68" s="576" t="s">
        <v>60</v>
      </c>
    </row>
    <row r="69" spans="1:1">
      <c r="A69" s="576" t="s">
        <v>61</v>
      </c>
    </row>
    <row r="70" spans="1:1">
      <c r="A70" s="576"/>
    </row>
    <row r="71" spans="1:1">
      <c r="A71" s="126" t="s">
        <v>62</v>
      </c>
    </row>
    <row r="72" spans="1:1">
      <c r="A72" s="576" t="s">
        <v>63</v>
      </c>
    </row>
    <row r="73" spans="1:1">
      <c r="A73" s="576" t="s">
        <v>64</v>
      </c>
    </row>
    <row r="74" spans="1:1">
      <c r="A74" s="576" t="s">
        <v>65</v>
      </c>
    </row>
    <row r="75" spans="1:1">
      <c r="A75" s="576" t="s">
        <v>66</v>
      </c>
    </row>
    <row r="76" spans="1:1">
      <c r="A76" s="576" t="s">
        <v>67</v>
      </c>
    </row>
  </sheetData>
  <sheetProtection algorithmName="SHA-512" hashValue="bD+SiSCXImxCdOcAv0k6X4193kPZMnSvF0vcr0ND7/I1d4Y3brSKvPqIzE/paUvOI4m4V+oSyiR0IBlNmIF+cw==" saltValue="nt4bax1xqj701hNPCHSbIQ==" spinCount="100000" sheet="1" objects="1" scenarios="1"/>
  <mergeCells count="1">
    <mergeCell ref="A16:J16"/>
  </mergeCells>
  <pageMargins left="0.7" right="0.7" top="0.75" bottom="0.75" header="0.51180555555555496" footer="0.51180555555555496"/>
  <pageSetup firstPageNumber="0" orientation="portrait" horizontalDpi="300" verticalDpi="300" r:id="rId1"/>
  <headerFooter>
    <oddFooter>&amp;C&amp;1#&amp;"Arial"&amp;10&amp;K000000---Internal Use---</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E7FA17-B772-4A0F-8F68-DB0996056E6B}">
  <sheetPr codeName="Tabelle8"/>
  <dimension ref="A1:G59"/>
  <sheetViews>
    <sheetView workbookViewId="0"/>
  </sheetViews>
  <sheetFormatPr defaultColWidth="11.42578125" defaultRowHeight="15"/>
  <cols>
    <col min="1" max="1" width="25.42578125" customWidth="1"/>
    <col min="2" max="2" width="14.42578125" customWidth="1"/>
    <col min="3" max="3" width="14.42578125" bestFit="1" customWidth="1"/>
    <col min="4" max="4" width="11.140625" bestFit="1" customWidth="1"/>
    <col min="5" max="5" width="22.7109375" bestFit="1" customWidth="1"/>
    <col min="6" max="7" width="11.140625" bestFit="1" customWidth="1"/>
    <col min="8" max="8" width="17.7109375" bestFit="1" customWidth="1"/>
  </cols>
  <sheetData>
    <row r="1" spans="1:7">
      <c r="A1" t="s">
        <v>68</v>
      </c>
      <c r="B1" t="s">
        <v>69</v>
      </c>
      <c r="C1" t="s">
        <v>70</v>
      </c>
      <c r="D1" t="s">
        <v>71</v>
      </c>
      <c r="E1" t="s">
        <v>72</v>
      </c>
      <c r="F1" t="s">
        <v>73</v>
      </c>
      <c r="G1" t="s">
        <v>74</v>
      </c>
    </row>
    <row r="2" spans="1:7">
      <c r="B2" t="s">
        <v>75</v>
      </c>
      <c r="C2" t="s">
        <v>76</v>
      </c>
      <c r="D2" t="s">
        <v>76</v>
      </c>
      <c r="E2" t="s">
        <v>76</v>
      </c>
      <c r="F2" t="s">
        <v>76</v>
      </c>
      <c r="G2" t="s">
        <v>76</v>
      </c>
    </row>
    <row r="3" spans="1:7">
      <c r="B3" t="s">
        <v>77</v>
      </c>
      <c r="C3" t="s">
        <v>78</v>
      </c>
      <c r="D3" t="s">
        <v>79</v>
      </c>
      <c r="E3" t="s">
        <v>80</v>
      </c>
      <c r="F3" t="s">
        <v>81</v>
      </c>
      <c r="G3" t="s">
        <v>82</v>
      </c>
    </row>
    <row r="4" spans="1:7">
      <c r="A4" t="s">
        <v>83</v>
      </c>
      <c r="B4" t="s">
        <v>84</v>
      </c>
      <c r="C4" t="s">
        <v>85</v>
      </c>
      <c r="D4" t="s">
        <v>85</v>
      </c>
      <c r="E4" t="s">
        <v>86</v>
      </c>
      <c r="F4" t="s">
        <v>87</v>
      </c>
      <c r="G4" t="s">
        <v>76</v>
      </c>
    </row>
    <row r="5" spans="1:7">
      <c r="A5" t="s">
        <v>88</v>
      </c>
      <c r="B5" t="s">
        <v>89</v>
      </c>
      <c r="C5" t="s">
        <v>90</v>
      </c>
      <c r="D5" t="s">
        <v>91</v>
      </c>
      <c r="E5" t="s">
        <v>92</v>
      </c>
      <c r="F5" t="s">
        <v>93</v>
      </c>
      <c r="G5" t="s">
        <v>76</v>
      </c>
    </row>
    <row r="6" spans="1:7">
      <c r="A6" t="s">
        <v>94</v>
      </c>
      <c r="B6" t="s">
        <v>95</v>
      </c>
      <c r="C6" t="s">
        <v>96</v>
      </c>
      <c r="D6" t="s">
        <v>97</v>
      </c>
      <c r="E6" t="s">
        <v>98</v>
      </c>
      <c r="F6" t="s">
        <v>76</v>
      </c>
      <c r="G6" t="s">
        <v>76</v>
      </c>
    </row>
    <row r="7" spans="1:7">
      <c r="A7" t="s">
        <v>99</v>
      </c>
      <c r="B7" t="s">
        <v>100</v>
      </c>
      <c r="C7" t="s">
        <v>101</v>
      </c>
      <c r="D7" t="s">
        <v>102</v>
      </c>
      <c r="E7" t="s">
        <v>103</v>
      </c>
      <c r="F7" t="s">
        <v>76</v>
      </c>
      <c r="G7" t="s">
        <v>76</v>
      </c>
    </row>
    <row r="8" spans="1:7">
      <c r="A8" t="s">
        <v>104</v>
      </c>
      <c r="B8" t="s">
        <v>89</v>
      </c>
      <c r="C8" t="s">
        <v>105</v>
      </c>
      <c r="D8" t="s">
        <v>106</v>
      </c>
      <c r="E8" t="s">
        <v>107</v>
      </c>
      <c r="F8" t="s">
        <v>76</v>
      </c>
      <c r="G8" t="s">
        <v>108</v>
      </c>
    </row>
    <row r="9" spans="1:7">
      <c r="A9" t="s">
        <v>109</v>
      </c>
      <c r="B9" t="s">
        <v>110</v>
      </c>
      <c r="C9" t="s">
        <v>111</v>
      </c>
      <c r="D9" t="s">
        <v>112</v>
      </c>
      <c r="E9" t="s">
        <v>113</v>
      </c>
      <c r="F9" t="s">
        <v>114</v>
      </c>
      <c r="G9" t="s">
        <v>76</v>
      </c>
    </row>
    <row r="10" spans="1:7">
      <c r="B10" t="s">
        <v>76</v>
      </c>
      <c r="C10" t="s">
        <v>76</v>
      </c>
      <c r="D10" t="s">
        <v>76</v>
      </c>
      <c r="E10" t="s">
        <v>76</v>
      </c>
      <c r="F10" t="s">
        <v>76</v>
      </c>
      <c r="G10" t="s">
        <v>76</v>
      </c>
    </row>
    <row r="11" spans="1:7">
      <c r="B11" t="s">
        <v>76</v>
      </c>
      <c r="C11" t="s">
        <v>76</v>
      </c>
      <c r="D11" t="s">
        <v>76</v>
      </c>
      <c r="E11" t="s">
        <v>76</v>
      </c>
      <c r="F11" t="s">
        <v>76</v>
      </c>
      <c r="G11" t="s">
        <v>76</v>
      </c>
    </row>
    <row r="12" spans="1:7">
      <c r="B12" t="s">
        <v>115</v>
      </c>
      <c r="C12" t="s">
        <v>76</v>
      </c>
      <c r="D12" t="s">
        <v>76</v>
      </c>
      <c r="E12" t="s">
        <v>76</v>
      </c>
      <c r="F12" t="s">
        <v>76</v>
      </c>
      <c r="G12" t="s">
        <v>76</v>
      </c>
    </row>
    <row r="13" spans="1:7">
      <c r="B13" t="s">
        <v>76</v>
      </c>
      <c r="C13" t="s">
        <v>76</v>
      </c>
      <c r="D13" t="s">
        <v>76</v>
      </c>
      <c r="E13" t="s">
        <v>76</v>
      </c>
      <c r="F13" t="s">
        <v>76</v>
      </c>
      <c r="G13" t="s">
        <v>76</v>
      </c>
    </row>
    <row r="14" spans="1:7">
      <c r="B14" t="s">
        <v>76</v>
      </c>
      <c r="C14" t="s">
        <v>76</v>
      </c>
      <c r="D14" t="s">
        <v>76</v>
      </c>
      <c r="E14" t="s">
        <v>76</v>
      </c>
      <c r="F14" t="s">
        <v>76</v>
      </c>
      <c r="G14" t="s">
        <v>76</v>
      </c>
    </row>
    <row r="15" spans="1:7">
      <c r="B15" t="s">
        <v>76</v>
      </c>
      <c r="C15" t="s">
        <v>76</v>
      </c>
      <c r="D15" t="s">
        <v>76</v>
      </c>
      <c r="E15" t="s">
        <v>76</v>
      </c>
      <c r="F15" t="s">
        <v>76</v>
      </c>
      <c r="G15" t="s">
        <v>76</v>
      </c>
    </row>
    <row r="16" spans="1:7">
      <c r="B16" t="s">
        <v>76</v>
      </c>
      <c r="C16" t="s">
        <v>76</v>
      </c>
      <c r="D16" t="s">
        <v>76</v>
      </c>
      <c r="E16" t="s">
        <v>76</v>
      </c>
      <c r="F16" t="s">
        <v>76</v>
      </c>
      <c r="G16" t="s">
        <v>76</v>
      </c>
    </row>
    <row r="17" spans="2:7">
      <c r="B17" t="s">
        <v>76</v>
      </c>
      <c r="C17" t="s">
        <v>76</v>
      </c>
      <c r="D17" t="s">
        <v>76</v>
      </c>
      <c r="E17" t="s">
        <v>76</v>
      </c>
      <c r="F17" t="s">
        <v>76</v>
      </c>
      <c r="G17" t="s">
        <v>76</v>
      </c>
    </row>
    <row r="18" spans="2:7">
      <c r="B18" t="s">
        <v>76</v>
      </c>
      <c r="C18" t="s">
        <v>76</v>
      </c>
      <c r="D18" t="s">
        <v>76</v>
      </c>
      <c r="E18" t="s">
        <v>76</v>
      </c>
      <c r="F18" t="s">
        <v>76</v>
      </c>
      <c r="G18" t="s">
        <v>76</v>
      </c>
    </row>
    <row r="19" spans="2:7">
      <c r="B19" t="s">
        <v>76</v>
      </c>
      <c r="C19" t="s">
        <v>76</v>
      </c>
      <c r="D19" t="s">
        <v>76</v>
      </c>
      <c r="E19" t="s">
        <v>76</v>
      </c>
      <c r="F19" t="s">
        <v>76</v>
      </c>
      <c r="G19" t="s">
        <v>76</v>
      </c>
    </row>
    <row r="20" spans="2:7">
      <c r="B20" t="s">
        <v>76</v>
      </c>
      <c r="C20" t="s">
        <v>76</v>
      </c>
      <c r="D20" t="s">
        <v>76</v>
      </c>
      <c r="E20" t="s">
        <v>76</v>
      </c>
      <c r="F20" t="s">
        <v>76</v>
      </c>
      <c r="G20" t="s">
        <v>76</v>
      </c>
    </row>
    <row r="21" spans="2:7">
      <c r="B21" t="s">
        <v>116</v>
      </c>
      <c r="C21" t="s">
        <v>76</v>
      </c>
      <c r="E21" t="s">
        <v>76</v>
      </c>
      <c r="F21" t="s">
        <v>76</v>
      </c>
      <c r="G21" t="s">
        <v>76</v>
      </c>
    </row>
    <row r="22" spans="2:7">
      <c r="B22" t="s">
        <v>76</v>
      </c>
      <c r="C22" t="s">
        <v>76</v>
      </c>
      <c r="D22" t="s">
        <v>76</v>
      </c>
      <c r="E22" t="s">
        <v>76</v>
      </c>
      <c r="F22" t="s">
        <v>76</v>
      </c>
      <c r="G22" t="s">
        <v>76</v>
      </c>
    </row>
    <row r="23" spans="2:7">
      <c r="B23" t="s">
        <v>76</v>
      </c>
      <c r="C23" t="s">
        <v>76</v>
      </c>
      <c r="D23" t="s">
        <v>76</v>
      </c>
      <c r="E23" t="s">
        <v>76</v>
      </c>
      <c r="F23" t="s">
        <v>76</v>
      </c>
      <c r="G23" t="s">
        <v>76</v>
      </c>
    </row>
    <row r="24" spans="2:7">
      <c r="B24" t="s">
        <v>76</v>
      </c>
      <c r="C24" t="s">
        <v>76</v>
      </c>
      <c r="D24" t="s">
        <v>76</v>
      </c>
      <c r="E24" t="s">
        <v>76</v>
      </c>
      <c r="F24" t="s">
        <v>76</v>
      </c>
      <c r="G24" t="s">
        <v>76</v>
      </c>
    </row>
    <row r="25" spans="2:7">
      <c r="B25" t="s">
        <v>76</v>
      </c>
      <c r="C25" t="s">
        <v>76</v>
      </c>
      <c r="D25" t="s">
        <v>76</v>
      </c>
      <c r="E25" t="s">
        <v>76</v>
      </c>
      <c r="F25" t="s">
        <v>76</v>
      </c>
      <c r="G25" t="s">
        <v>76</v>
      </c>
    </row>
    <row r="26" spans="2:7">
      <c r="B26" t="s">
        <v>76</v>
      </c>
      <c r="C26" t="s">
        <v>76</v>
      </c>
      <c r="D26" t="s">
        <v>76</v>
      </c>
      <c r="E26" t="s">
        <v>76</v>
      </c>
      <c r="F26" t="s">
        <v>76</v>
      </c>
      <c r="G26" t="s">
        <v>76</v>
      </c>
    </row>
    <row r="27" spans="2:7">
      <c r="B27" t="s">
        <v>76</v>
      </c>
      <c r="C27" t="s">
        <v>76</v>
      </c>
      <c r="D27" t="s">
        <v>76</v>
      </c>
      <c r="E27" t="s">
        <v>76</v>
      </c>
      <c r="F27" t="s">
        <v>76</v>
      </c>
      <c r="G27" t="s">
        <v>76</v>
      </c>
    </row>
    <row r="28" spans="2:7">
      <c r="B28" t="s">
        <v>76</v>
      </c>
      <c r="C28" t="s">
        <v>76</v>
      </c>
      <c r="D28" t="s">
        <v>76</v>
      </c>
      <c r="E28" t="s">
        <v>76</v>
      </c>
      <c r="F28" t="s">
        <v>76</v>
      </c>
      <c r="G28" t="s">
        <v>76</v>
      </c>
    </row>
    <row r="29" spans="2:7">
      <c r="B29" t="s">
        <v>76</v>
      </c>
      <c r="C29" t="s">
        <v>76</v>
      </c>
      <c r="D29" t="s">
        <v>76</v>
      </c>
      <c r="E29" t="s">
        <v>76</v>
      </c>
      <c r="F29" t="s">
        <v>76</v>
      </c>
      <c r="G29" t="s">
        <v>76</v>
      </c>
    </row>
    <row r="30" spans="2:7">
      <c r="B30" t="s">
        <v>76</v>
      </c>
      <c r="C30" t="s">
        <v>76</v>
      </c>
      <c r="D30" t="s">
        <v>76</v>
      </c>
      <c r="E30" t="s">
        <v>76</v>
      </c>
      <c r="F30" t="s">
        <v>76</v>
      </c>
      <c r="G30" t="s">
        <v>76</v>
      </c>
    </row>
    <row r="31" spans="2:7">
      <c r="B31" t="s">
        <v>117</v>
      </c>
      <c r="C31" t="s">
        <v>76</v>
      </c>
      <c r="D31" t="s">
        <v>76</v>
      </c>
      <c r="E31" t="s">
        <v>76</v>
      </c>
      <c r="F31" t="s">
        <v>76</v>
      </c>
      <c r="G31" t="s">
        <v>76</v>
      </c>
    </row>
    <row r="32" spans="2:7">
      <c r="B32" t="s">
        <v>77</v>
      </c>
      <c r="C32" t="s">
        <v>78</v>
      </c>
      <c r="D32" t="s">
        <v>118</v>
      </c>
      <c r="E32" t="s">
        <v>119</v>
      </c>
      <c r="F32" t="s">
        <v>120</v>
      </c>
      <c r="G32" t="s">
        <v>121</v>
      </c>
    </row>
    <row r="33" spans="1:7">
      <c r="A33" t="s">
        <v>83</v>
      </c>
      <c r="B33" t="s">
        <v>122</v>
      </c>
      <c r="C33" t="s">
        <v>123</v>
      </c>
      <c r="D33" t="s">
        <v>124</v>
      </c>
      <c r="E33" t="s">
        <v>125</v>
      </c>
      <c r="F33" t="s">
        <v>76</v>
      </c>
      <c r="G33" t="s">
        <v>76</v>
      </c>
    </row>
    <row r="34" spans="1:7">
      <c r="A34" t="s">
        <v>88</v>
      </c>
      <c r="B34" t="s">
        <v>126</v>
      </c>
      <c r="C34" t="s">
        <v>105</v>
      </c>
      <c r="D34" t="s">
        <v>127</v>
      </c>
      <c r="E34" t="s">
        <v>128</v>
      </c>
      <c r="F34" t="s">
        <v>76</v>
      </c>
      <c r="G34" t="s">
        <v>76</v>
      </c>
    </row>
    <row r="35" spans="1:7">
      <c r="A35" t="s">
        <v>94</v>
      </c>
      <c r="B35" t="s">
        <v>129</v>
      </c>
      <c r="C35" t="s">
        <v>105</v>
      </c>
      <c r="D35" t="s">
        <v>130</v>
      </c>
      <c r="E35" t="s">
        <v>131</v>
      </c>
      <c r="F35" t="s">
        <v>76</v>
      </c>
      <c r="G35" t="s">
        <v>76</v>
      </c>
    </row>
    <row r="36" spans="1:7">
      <c r="A36" t="s">
        <v>99</v>
      </c>
      <c r="B36" t="s">
        <v>132</v>
      </c>
      <c r="C36" t="s">
        <v>105</v>
      </c>
      <c r="D36" t="s">
        <v>133</v>
      </c>
      <c r="E36" t="s">
        <v>134</v>
      </c>
      <c r="F36" t="s">
        <v>135</v>
      </c>
      <c r="G36" t="s">
        <v>136</v>
      </c>
    </row>
    <row r="37" spans="1:7">
      <c r="A37" t="s">
        <v>104</v>
      </c>
      <c r="B37" t="s">
        <v>137</v>
      </c>
      <c r="C37" t="s">
        <v>138</v>
      </c>
      <c r="D37" t="s">
        <v>139</v>
      </c>
      <c r="E37" t="s">
        <v>140</v>
      </c>
      <c r="F37" t="s">
        <v>76</v>
      </c>
      <c r="G37" t="s">
        <v>76</v>
      </c>
    </row>
    <row r="38" spans="1:7">
      <c r="A38" t="s">
        <v>109</v>
      </c>
      <c r="B38" t="s">
        <v>141</v>
      </c>
      <c r="C38" t="s">
        <v>105</v>
      </c>
      <c r="D38" t="s">
        <v>142</v>
      </c>
      <c r="E38" t="s">
        <v>143</v>
      </c>
      <c r="F38" t="s">
        <v>76</v>
      </c>
      <c r="G38" t="s">
        <v>76</v>
      </c>
    </row>
    <row r="39" spans="1:7">
      <c r="B39" t="s">
        <v>76</v>
      </c>
      <c r="C39" t="s">
        <v>76</v>
      </c>
      <c r="D39" t="s">
        <v>76</v>
      </c>
      <c r="E39" t="s">
        <v>76</v>
      </c>
      <c r="F39" t="s">
        <v>76</v>
      </c>
      <c r="G39" t="s">
        <v>76</v>
      </c>
    </row>
    <row r="40" spans="1:7">
      <c r="B40" t="s">
        <v>76</v>
      </c>
      <c r="C40" t="s">
        <v>76</v>
      </c>
      <c r="D40" t="s">
        <v>76</v>
      </c>
      <c r="E40" t="s">
        <v>76</v>
      </c>
      <c r="F40" t="s">
        <v>76</v>
      </c>
      <c r="G40" t="s">
        <v>76</v>
      </c>
    </row>
    <row r="41" spans="1:7">
      <c r="B41" t="s">
        <v>76</v>
      </c>
      <c r="C41" t="s">
        <v>76</v>
      </c>
      <c r="D41" t="s">
        <v>76</v>
      </c>
      <c r="E41" t="s">
        <v>76</v>
      </c>
      <c r="F41" t="s">
        <v>76</v>
      </c>
      <c r="G41" t="s">
        <v>76</v>
      </c>
    </row>
    <row r="42" spans="1:7">
      <c r="B42" t="s">
        <v>144</v>
      </c>
      <c r="C42" t="s">
        <v>76</v>
      </c>
      <c r="D42" t="s">
        <v>76</v>
      </c>
      <c r="E42" t="s">
        <v>76</v>
      </c>
      <c r="F42" t="s">
        <v>76</v>
      </c>
      <c r="G42" t="s">
        <v>76</v>
      </c>
    </row>
    <row r="43" spans="1:7">
      <c r="B43" t="s">
        <v>145</v>
      </c>
      <c r="C43" t="s">
        <v>76</v>
      </c>
      <c r="D43" t="s">
        <v>76</v>
      </c>
      <c r="E43" t="s">
        <v>76</v>
      </c>
      <c r="F43" t="s">
        <v>76</v>
      </c>
      <c r="G43" t="s">
        <v>76</v>
      </c>
    </row>
    <row r="44" spans="1:7">
      <c r="A44" t="s">
        <v>83</v>
      </c>
      <c r="B44" t="s">
        <v>146</v>
      </c>
      <c r="C44" t="s">
        <v>76</v>
      </c>
      <c r="D44" t="s">
        <v>76</v>
      </c>
      <c r="E44" t="s">
        <v>76</v>
      </c>
      <c r="F44" t="s">
        <v>76</v>
      </c>
      <c r="G44" t="s">
        <v>76</v>
      </c>
    </row>
    <row r="45" spans="1:7">
      <c r="A45" t="s">
        <v>88</v>
      </c>
      <c r="B45" t="s">
        <v>147</v>
      </c>
      <c r="C45" t="s">
        <v>76</v>
      </c>
      <c r="D45" t="s">
        <v>76</v>
      </c>
      <c r="E45" t="s">
        <v>76</v>
      </c>
      <c r="F45" t="s">
        <v>76</v>
      </c>
      <c r="G45" t="s">
        <v>76</v>
      </c>
    </row>
    <row r="46" spans="1:7">
      <c r="A46" t="s">
        <v>94</v>
      </c>
      <c r="B46" t="s">
        <v>148</v>
      </c>
      <c r="C46" t="s">
        <v>76</v>
      </c>
      <c r="D46" t="s">
        <v>76</v>
      </c>
      <c r="E46" t="s">
        <v>76</v>
      </c>
      <c r="F46" t="s">
        <v>76</v>
      </c>
      <c r="G46" t="s">
        <v>76</v>
      </c>
    </row>
    <row r="47" spans="1:7">
      <c r="A47" t="s">
        <v>99</v>
      </c>
      <c r="B47" t="s">
        <v>149</v>
      </c>
      <c r="C47" t="s">
        <v>76</v>
      </c>
      <c r="D47" t="s">
        <v>76</v>
      </c>
      <c r="E47" t="s">
        <v>76</v>
      </c>
      <c r="F47" t="s">
        <v>76</v>
      </c>
      <c r="G47" t="s">
        <v>76</v>
      </c>
    </row>
    <row r="48" spans="1:7">
      <c r="A48" t="s">
        <v>104</v>
      </c>
      <c r="B48" t="s">
        <v>150</v>
      </c>
      <c r="C48" t="s">
        <v>76</v>
      </c>
      <c r="D48" t="s">
        <v>76</v>
      </c>
      <c r="E48" t="s">
        <v>76</v>
      </c>
      <c r="F48" t="s">
        <v>76</v>
      </c>
      <c r="G48" t="s">
        <v>76</v>
      </c>
    </row>
    <row r="49" spans="1:7">
      <c r="A49" t="s">
        <v>109</v>
      </c>
      <c r="B49" t="s">
        <v>151</v>
      </c>
      <c r="C49" t="s">
        <v>76</v>
      </c>
      <c r="D49" t="s">
        <v>76</v>
      </c>
      <c r="E49" t="s">
        <v>76</v>
      </c>
      <c r="F49" t="s">
        <v>76</v>
      </c>
      <c r="G49" t="s">
        <v>76</v>
      </c>
    </row>
    <row r="50" spans="1:7">
      <c r="B50" t="s">
        <v>76</v>
      </c>
      <c r="C50" t="s">
        <v>76</v>
      </c>
      <c r="D50" t="s">
        <v>76</v>
      </c>
      <c r="E50" t="s">
        <v>76</v>
      </c>
      <c r="F50" t="s">
        <v>76</v>
      </c>
      <c r="G50" t="s">
        <v>76</v>
      </c>
    </row>
    <row r="51" spans="1:7">
      <c r="B51" t="s">
        <v>76</v>
      </c>
      <c r="C51" t="s">
        <v>76</v>
      </c>
      <c r="D51" t="s">
        <v>76</v>
      </c>
      <c r="E51" t="s">
        <v>76</v>
      </c>
      <c r="F51" t="s">
        <v>76</v>
      </c>
      <c r="G51" t="s">
        <v>76</v>
      </c>
    </row>
    <row r="52" spans="1:7">
      <c r="B52" t="s">
        <v>152</v>
      </c>
      <c r="C52" t="s">
        <v>76</v>
      </c>
      <c r="D52" t="s">
        <v>76</v>
      </c>
      <c r="E52" t="s">
        <v>76</v>
      </c>
      <c r="F52" t="s">
        <v>76</v>
      </c>
      <c r="G52" t="s">
        <v>76</v>
      </c>
    </row>
    <row r="53" spans="1:7">
      <c r="B53" t="s">
        <v>153</v>
      </c>
      <c r="C53" t="s">
        <v>118</v>
      </c>
      <c r="D53" t="s">
        <v>154</v>
      </c>
      <c r="E53" t="s">
        <v>76</v>
      </c>
      <c r="F53" t="s">
        <v>76</v>
      </c>
      <c r="G53" t="s">
        <v>76</v>
      </c>
    </row>
    <row r="54" spans="1:7">
      <c r="A54" t="s">
        <v>83</v>
      </c>
      <c r="B54" t="s">
        <v>155</v>
      </c>
      <c r="C54" t="s">
        <v>155</v>
      </c>
      <c r="D54" t="s">
        <v>155</v>
      </c>
      <c r="E54" t="s">
        <v>76</v>
      </c>
      <c r="F54" t="s">
        <v>76</v>
      </c>
      <c r="G54" t="s">
        <v>76</v>
      </c>
    </row>
    <row r="55" spans="1:7">
      <c r="A55" t="s">
        <v>88</v>
      </c>
      <c r="B55" t="s">
        <v>156</v>
      </c>
      <c r="C55" t="s">
        <v>156</v>
      </c>
      <c r="D55" t="s">
        <v>156</v>
      </c>
      <c r="E55" t="s">
        <v>76</v>
      </c>
      <c r="F55" t="s">
        <v>76</v>
      </c>
      <c r="G55" t="s">
        <v>76</v>
      </c>
    </row>
    <row r="56" spans="1:7">
      <c r="A56" t="s">
        <v>94</v>
      </c>
      <c r="B56" t="s">
        <v>157</v>
      </c>
      <c r="C56" t="s">
        <v>158</v>
      </c>
      <c r="D56" t="s">
        <v>158</v>
      </c>
      <c r="E56" t="s">
        <v>76</v>
      </c>
      <c r="F56" t="s">
        <v>76</v>
      </c>
      <c r="G56" t="s">
        <v>76</v>
      </c>
    </row>
    <row r="57" spans="1:7">
      <c r="A57" t="s">
        <v>99</v>
      </c>
      <c r="B57" t="s">
        <v>159</v>
      </c>
      <c r="C57" t="s">
        <v>160</v>
      </c>
      <c r="D57" t="s">
        <v>161</v>
      </c>
      <c r="E57" t="s">
        <v>76</v>
      </c>
      <c r="F57" t="s">
        <v>76</v>
      </c>
      <c r="G57" t="s">
        <v>76</v>
      </c>
    </row>
    <row r="58" spans="1:7">
      <c r="A58" t="s">
        <v>104</v>
      </c>
      <c r="B58" t="s">
        <v>147</v>
      </c>
      <c r="C58" t="s">
        <v>147</v>
      </c>
      <c r="D58" t="s">
        <v>147</v>
      </c>
      <c r="E58" t="s">
        <v>76</v>
      </c>
      <c r="F58" t="s">
        <v>76</v>
      </c>
      <c r="G58" t="s">
        <v>76</v>
      </c>
    </row>
    <row r="59" spans="1:7">
      <c r="A59" t="s">
        <v>109</v>
      </c>
      <c r="B59" t="s">
        <v>162</v>
      </c>
      <c r="C59" t="s">
        <v>162</v>
      </c>
      <c r="D59" t="s">
        <v>162</v>
      </c>
      <c r="E59" t="s">
        <v>76</v>
      </c>
      <c r="F59" t="s">
        <v>76</v>
      </c>
      <c r="G59" t="s">
        <v>76</v>
      </c>
    </row>
  </sheetData>
  <pageMargins left="0.7" right="0.7" top="0.78740157499999996" bottom="0.78740157499999996" header="0.3" footer="0.3"/>
  <pageSetup paperSize="9" orientation="portrait" r:id="rId1"/>
  <headerFooter>
    <oddFooter>&amp;C&amp;1#&amp;"Arial"&amp;10&amp;K000000---Internal Use---</oddFooter>
  </headerFooter>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F8CAE2-4051-4D51-86B5-50E8D6DE3A8A}">
  <sheetPr codeName="Tabelle9"/>
  <dimension ref="A1:G59"/>
  <sheetViews>
    <sheetView workbookViewId="0"/>
  </sheetViews>
  <sheetFormatPr defaultColWidth="11.42578125" defaultRowHeight="15"/>
  <cols>
    <col min="2" max="2" width="14.42578125" bestFit="1" customWidth="1"/>
    <col min="3" max="3" width="11.140625" bestFit="1" customWidth="1"/>
    <col min="4" max="4" width="15.7109375" bestFit="1" customWidth="1"/>
    <col min="5" max="5" width="15.85546875" bestFit="1" customWidth="1"/>
    <col min="6" max="7" width="11.140625" bestFit="1" customWidth="1"/>
  </cols>
  <sheetData>
    <row r="1" spans="1:7">
      <c r="A1" t="s">
        <v>163</v>
      </c>
      <c r="B1" t="s">
        <v>69</v>
      </c>
      <c r="C1" t="s">
        <v>70</v>
      </c>
      <c r="D1" t="s">
        <v>71</v>
      </c>
      <c r="E1" t="s">
        <v>72</v>
      </c>
      <c r="F1" t="s">
        <v>73</v>
      </c>
      <c r="G1" t="s">
        <v>74</v>
      </c>
    </row>
    <row r="2" spans="1:7">
      <c r="B2" t="s">
        <v>75</v>
      </c>
      <c r="C2" t="s">
        <v>76</v>
      </c>
      <c r="D2" t="s">
        <v>76</v>
      </c>
      <c r="E2" t="s">
        <v>76</v>
      </c>
      <c r="F2" t="s">
        <v>76</v>
      </c>
      <c r="G2" t="s">
        <v>76</v>
      </c>
    </row>
    <row r="3" spans="1:7">
      <c r="B3" t="s">
        <v>77</v>
      </c>
      <c r="C3" t="s">
        <v>78</v>
      </c>
      <c r="D3" t="s">
        <v>79</v>
      </c>
      <c r="E3" t="s">
        <v>80</v>
      </c>
      <c r="F3" t="s">
        <v>81</v>
      </c>
      <c r="G3" t="s">
        <v>82</v>
      </c>
    </row>
    <row r="4" spans="1:7">
      <c r="A4" t="s">
        <v>83</v>
      </c>
      <c r="B4" t="s">
        <v>164</v>
      </c>
      <c r="C4" t="s">
        <v>165</v>
      </c>
      <c r="D4" t="s">
        <v>166</v>
      </c>
      <c r="E4" t="s">
        <v>167</v>
      </c>
      <c r="F4" t="s">
        <v>168</v>
      </c>
      <c r="G4" t="s">
        <v>76</v>
      </c>
    </row>
    <row r="5" spans="1:7">
      <c r="A5" t="s">
        <v>88</v>
      </c>
      <c r="B5" t="s">
        <v>169</v>
      </c>
      <c r="C5" t="s">
        <v>170</v>
      </c>
      <c r="D5" t="s">
        <v>123</v>
      </c>
      <c r="E5" t="s">
        <v>171</v>
      </c>
      <c r="F5" t="s">
        <v>111</v>
      </c>
      <c r="G5" t="s">
        <v>76</v>
      </c>
    </row>
    <row r="6" spans="1:7">
      <c r="A6" t="s">
        <v>94</v>
      </c>
      <c r="B6" t="s">
        <v>172</v>
      </c>
      <c r="C6" t="s">
        <v>165</v>
      </c>
      <c r="D6" t="s">
        <v>173</v>
      </c>
      <c r="E6" t="s">
        <v>174</v>
      </c>
      <c r="F6" t="s">
        <v>76</v>
      </c>
      <c r="G6" t="s">
        <v>76</v>
      </c>
    </row>
    <row r="7" spans="1:7">
      <c r="A7" t="s">
        <v>99</v>
      </c>
      <c r="B7" t="s">
        <v>175</v>
      </c>
      <c r="C7" t="s">
        <v>176</v>
      </c>
      <c r="D7" t="s">
        <v>177</v>
      </c>
      <c r="E7" t="s">
        <v>100</v>
      </c>
      <c r="F7" t="s">
        <v>76</v>
      </c>
      <c r="G7" t="s">
        <v>76</v>
      </c>
    </row>
    <row r="8" spans="1:7">
      <c r="A8" t="s">
        <v>104</v>
      </c>
      <c r="B8" t="s">
        <v>178</v>
      </c>
      <c r="C8" t="s">
        <v>105</v>
      </c>
      <c r="D8" t="s">
        <v>179</v>
      </c>
      <c r="E8" t="s">
        <v>180</v>
      </c>
      <c r="F8" t="s">
        <v>76</v>
      </c>
      <c r="G8" t="s">
        <v>181</v>
      </c>
    </row>
    <row r="9" spans="1:7">
      <c r="A9" t="s">
        <v>109</v>
      </c>
      <c r="B9" t="s">
        <v>182</v>
      </c>
      <c r="C9" t="s">
        <v>183</v>
      </c>
      <c r="D9" t="s">
        <v>184</v>
      </c>
      <c r="E9" t="s">
        <v>185</v>
      </c>
      <c r="F9" t="s">
        <v>186</v>
      </c>
      <c r="G9" t="s">
        <v>76</v>
      </c>
    </row>
    <row r="10" spans="1:7">
      <c r="B10" t="s">
        <v>76</v>
      </c>
      <c r="C10" t="s">
        <v>76</v>
      </c>
      <c r="D10" t="s">
        <v>76</v>
      </c>
      <c r="E10" t="s">
        <v>76</v>
      </c>
      <c r="F10" t="s">
        <v>76</v>
      </c>
      <c r="G10" t="s">
        <v>76</v>
      </c>
    </row>
    <row r="11" spans="1:7">
      <c r="B11" t="s">
        <v>76</v>
      </c>
      <c r="C11" t="s">
        <v>76</v>
      </c>
      <c r="D11" t="s">
        <v>76</v>
      </c>
      <c r="E11" t="s">
        <v>76</v>
      </c>
      <c r="F11" t="s">
        <v>76</v>
      </c>
      <c r="G11" t="s">
        <v>76</v>
      </c>
    </row>
    <row r="12" spans="1:7">
      <c r="B12" t="s">
        <v>115</v>
      </c>
      <c r="C12" t="s">
        <v>76</v>
      </c>
      <c r="D12" t="s">
        <v>76</v>
      </c>
      <c r="E12" t="s">
        <v>76</v>
      </c>
      <c r="F12" t="s">
        <v>76</v>
      </c>
      <c r="G12" t="s">
        <v>76</v>
      </c>
    </row>
    <row r="13" spans="1:7">
      <c r="B13" t="s">
        <v>77</v>
      </c>
      <c r="C13" t="s">
        <v>78</v>
      </c>
      <c r="D13" t="s">
        <v>187</v>
      </c>
      <c r="E13" t="s">
        <v>188</v>
      </c>
      <c r="F13" t="s">
        <v>76</v>
      </c>
      <c r="G13" t="s">
        <v>76</v>
      </c>
    </row>
    <row r="14" spans="1:7">
      <c r="A14" t="s">
        <v>83</v>
      </c>
      <c r="B14" t="s">
        <v>189</v>
      </c>
      <c r="C14" t="s">
        <v>190</v>
      </c>
      <c r="D14" t="s">
        <v>191</v>
      </c>
      <c r="E14" t="s">
        <v>192</v>
      </c>
      <c r="F14" t="s">
        <v>76</v>
      </c>
      <c r="G14" t="s">
        <v>76</v>
      </c>
    </row>
    <row r="15" spans="1:7">
      <c r="A15" t="s">
        <v>88</v>
      </c>
      <c r="B15" t="s">
        <v>193</v>
      </c>
      <c r="C15" t="s">
        <v>102</v>
      </c>
      <c r="D15" t="s">
        <v>194</v>
      </c>
      <c r="E15" t="s">
        <v>178</v>
      </c>
      <c r="F15" t="s">
        <v>76</v>
      </c>
      <c r="G15" t="s">
        <v>76</v>
      </c>
    </row>
    <row r="16" spans="1:7">
      <c r="A16" t="s">
        <v>94</v>
      </c>
      <c r="B16" t="s">
        <v>195</v>
      </c>
      <c r="C16" t="s">
        <v>105</v>
      </c>
      <c r="D16" t="s">
        <v>196</v>
      </c>
      <c r="E16" t="s">
        <v>197</v>
      </c>
      <c r="F16" t="s">
        <v>76</v>
      </c>
      <c r="G16" t="s">
        <v>76</v>
      </c>
    </row>
    <row r="17" spans="1:7">
      <c r="A17" t="s">
        <v>99</v>
      </c>
      <c r="B17" t="s">
        <v>198</v>
      </c>
      <c r="C17" t="s">
        <v>105</v>
      </c>
      <c r="D17" t="s">
        <v>199</v>
      </c>
      <c r="E17" t="s">
        <v>200</v>
      </c>
      <c r="F17" t="s">
        <v>76</v>
      </c>
      <c r="G17" t="s">
        <v>76</v>
      </c>
    </row>
    <row r="18" spans="1:7">
      <c r="A18" t="s">
        <v>104</v>
      </c>
      <c r="B18" t="s">
        <v>201</v>
      </c>
      <c r="C18" t="s">
        <v>105</v>
      </c>
      <c r="D18" t="s">
        <v>202</v>
      </c>
      <c r="E18" t="s">
        <v>203</v>
      </c>
      <c r="F18" t="s">
        <v>76</v>
      </c>
      <c r="G18" t="s">
        <v>76</v>
      </c>
    </row>
    <row r="19" spans="1:7">
      <c r="A19" t="s">
        <v>109</v>
      </c>
      <c r="B19" t="s">
        <v>204</v>
      </c>
      <c r="C19" t="s">
        <v>205</v>
      </c>
      <c r="D19" t="s">
        <v>206</v>
      </c>
      <c r="E19" t="s">
        <v>207</v>
      </c>
      <c r="F19" t="s">
        <v>76</v>
      </c>
      <c r="G19" t="s">
        <v>76</v>
      </c>
    </row>
    <row r="20" spans="1:7">
      <c r="B20" t="s">
        <v>76</v>
      </c>
      <c r="C20" t="s">
        <v>76</v>
      </c>
      <c r="D20" t="s">
        <v>76</v>
      </c>
      <c r="E20" t="s">
        <v>76</v>
      </c>
      <c r="F20" t="s">
        <v>76</v>
      </c>
      <c r="G20" t="s">
        <v>76</v>
      </c>
    </row>
    <row r="21" spans="1:7">
      <c r="B21" t="s">
        <v>116</v>
      </c>
      <c r="C21" t="s">
        <v>76</v>
      </c>
      <c r="D21" t="s">
        <v>76</v>
      </c>
      <c r="E21" t="s">
        <v>76</v>
      </c>
      <c r="F21" t="s">
        <v>76</v>
      </c>
      <c r="G21" t="s">
        <v>76</v>
      </c>
    </row>
    <row r="22" spans="1:7">
      <c r="B22" t="s">
        <v>77</v>
      </c>
      <c r="C22" t="s">
        <v>78</v>
      </c>
      <c r="D22" t="s">
        <v>208</v>
      </c>
      <c r="E22" t="s">
        <v>76</v>
      </c>
      <c r="F22" t="s">
        <v>76</v>
      </c>
      <c r="G22" t="s">
        <v>76</v>
      </c>
    </row>
    <row r="23" spans="1:7">
      <c r="A23" t="s">
        <v>83</v>
      </c>
      <c r="B23" t="s">
        <v>209</v>
      </c>
      <c r="C23" t="s">
        <v>105</v>
      </c>
      <c r="D23" t="s">
        <v>210</v>
      </c>
      <c r="E23" t="s">
        <v>76</v>
      </c>
      <c r="F23" t="s">
        <v>76</v>
      </c>
      <c r="G23" t="s">
        <v>76</v>
      </c>
    </row>
    <row r="24" spans="1:7">
      <c r="A24" t="s">
        <v>88</v>
      </c>
      <c r="B24" t="s">
        <v>211</v>
      </c>
      <c r="C24" t="s">
        <v>105</v>
      </c>
      <c r="D24" t="s">
        <v>142</v>
      </c>
      <c r="E24" t="s">
        <v>76</v>
      </c>
      <c r="F24" t="s">
        <v>76</v>
      </c>
      <c r="G24" t="s">
        <v>76</v>
      </c>
    </row>
    <row r="25" spans="1:7">
      <c r="A25" t="s">
        <v>94</v>
      </c>
      <c r="B25" t="s">
        <v>212</v>
      </c>
      <c r="C25" t="s">
        <v>105</v>
      </c>
      <c r="D25" t="s">
        <v>213</v>
      </c>
      <c r="E25" t="s">
        <v>76</v>
      </c>
      <c r="F25" t="s">
        <v>76</v>
      </c>
      <c r="G25" t="s">
        <v>76</v>
      </c>
    </row>
    <row r="26" spans="1:7">
      <c r="A26" t="s">
        <v>99</v>
      </c>
      <c r="B26" t="s">
        <v>214</v>
      </c>
      <c r="C26" t="s">
        <v>105</v>
      </c>
      <c r="D26" t="s">
        <v>215</v>
      </c>
      <c r="E26" t="s">
        <v>76</v>
      </c>
      <c r="F26" t="s">
        <v>76</v>
      </c>
      <c r="G26" t="s">
        <v>76</v>
      </c>
    </row>
    <row r="27" spans="1:7">
      <c r="A27" t="s">
        <v>104</v>
      </c>
      <c r="B27" t="s">
        <v>169</v>
      </c>
      <c r="C27" t="s">
        <v>105</v>
      </c>
      <c r="D27" t="s">
        <v>216</v>
      </c>
      <c r="E27" t="s">
        <v>76</v>
      </c>
      <c r="F27" t="s">
        <v>76</v>
      </c>
      <c r="G27" t="s">
        <v>76</v>
      </c>
    </row>
    <row r="28" spans="1:7">
      <c r="A28" t="s">
        <v>109</v>
      </c>
      <c r="B28" t="s">
        <v>127</v>
      </c>
      <c r="C28" t="s">
        <v>105</v>
      </c>
      <c r="D28" t="s">
        <v>217</v>
      </c>
      <c r="E28" t="s">
        <v>76</v>
      </c>
      <c r="F28" t="s">
        <v>76</v>
      </c>
      <c r="G28" t="s">
        <v>76</v>
      </c>
    </row>
    <row r="29" spans="1:7">
      <c r="B29" t="s">
        <v>76</v>
      </c>
      <c r="C29" t="s">
        <v>76</v>
      </c>
      <c r="D29" t="s">
        <v>76</v>
      </c>
      <c r="E29" t="s">
        <v>76</v>
      </c>
      <c r="F29" t="s">
        <v>76</v>
      </c>
      <c r="G29" t="s">
        <v>76</v>
      </c>
    </row>
    <row r="30" spans="1:7">
      <c r="B30" t="s">
        <v>76</v>
      </c>
      <c r="C30" t="s">
        <v>76</v>
      </c>
      <c r="D30" t="s">
        <v>76</v>
      </c>
      <c r="E30" t="s">
        <v>76</v>
      </c>
      <c r="F30" t="s">
        <v>76</v>
      </c>
      <c r="G30" t="s">
        <v>76</v>
      </c>
    </row>
    <row r="31" spans="1:7">
      <c r="B31" t="s">
        <v>117</v>
      </c>
      <c r="C31" t="s">
        <v>76</v>
      </c>
      <c r="D31" t="s">
        <v>76</v>
      </c>
      <c r="E31" t="s">
        <v>76</v>
      </c>
      <c r="F31" t="s">
        <v>76</v>
      </c>
      <c r="G31" t="s">
        <v>76</v>
      </c>
    </row>
    <row r="32" spans="1:7">
      <c r="B32" t="s">
        <v>77</v>
      </c>
      <c r="C32" t="s">
        <v>78</v>
      </c>
      <c r="D32" t="s">
        <v>218</v>
      </c>
      <c r="E32" t="s">
        <v>76</v>
      </c>
      <c r="F32" t="s">
        <v>76</v>
      </c>
      <c r="G32" t="s">
        <v>76</v>
      </c>
    </row>
    <row r="33" spans="1:7">
      <c r="A33" t="s">
        <v>83</v>
      </c>
      <c r="B33" t="s">
        <v>219</v>
      </c>
      <c r="C33" t="s">
        <v>220</v>
      </c>
      <c r="D33" t="s">
        <v>221</v>
      </c>
      <c r="E33" t="s">
        <v>76</v>
      </c>
      <c r="F33" t="s">
        <v>76</v>
      </c>
      <c r="G33" t="s">
        <v>76</v>
      </c>
    </row>
    <row r="34" spans="1:7">
      <c r="A34" t="s">
        <v>88</v>
      </c>
      <c r="B34" t="s">
        <v>222</v>
      </c>
      <c r="C34" t="s">
        <v>105</v>
      </c>
      <c r="D34" t="s">
        <v>223</v>
      </c>
      <c r="E34" t="s">
        <v>76</v>
      </c>
      <c r="F34" t="s">
        <v>76</v>
      </c>
      <c r="G34" t="s">
        <v>76</v>
      </c>
    </row>
    <row r="35" spans="1:7">
      <c r="A35" t="s">
        <v>94</v>
      </c>
      <c r="B35" t="s">
        <v>224</v>
      </c>
      <c r="C35" t="s">
        <v>225</v>
      </c>
      <c r="D35" t="s">
        <v>226</v>
      </c>
      <c r="E35" t="s">
        <v>76</v>
      </c>
      <c r="F35" t="s">
        <v>76</v>
      </c>
      <c r="G35" t="s">
        <v>76</v>
      </c>
    </row>
    <row r="36" spans="1:7">
      <c r="A36" t="s">
        <v>99</v>
      </c>
      <c r="B36" t="s">
        <v>227</v>
      </c>
      <c r="C36" t="s">
        <v>76</v>
      </c>
      <c r="D36" t="s">
        <v>228</v>
      </c>
      <c r="E36" t="s">
        <v>76</v>
      </c>
      <c r="F36" t="s">
        <v>76</v>
      </c>
      <c r="G36" t="s">
        <v>76</v>
      </c>
    </row>
    <row r="37" spans="1:7">
      <c r="A37" t="s">
        <v>104</v>
      </c>
      <c r="B37" t="s">
        <v>229</v>
      </c>
      <c r="C37" t="s">
        <v>206</v>
      </c>
      <c r="D37" t="s">
        <v>230</v>
      </c>
      <c r="E37" t="s">
        <v>76</v>
      </c>
      <c r="F37" t="s">
        <v>76</v>
      </c>
      <c r="G37" t="s">
        <v>76</v>
      </c>
    </row>
    <row r="38" spans="1:7">
      <c r="A38" t="s">
        <v>109</v>
      </c>
      <c r="B38" t="s">
        <v>231</v>
      </c>
      <c r="C38" t="s">
        <v>217</v>
      </c>
      <c r="D38" t="s">
        <v>232</v>
      </c>
      <c r="E38" t="s">
        <v>76</v>
      </c>
      <c r="F38" t="s">
        <v>76</v>
      </c>
      <c r="G38" t="s">
        <v>76</v>
      </c>
    </row>
    <row r="39" spans="1:7">
      <c r="B39" t="s">
        <v>76</v>
      </c>
      <c r="C39" t="s">
        <v>76</v>
      </c>
      <c r="D39" t="s">
        <v>76</v>
      </c>
      <c r="E39" t="s">
        <v>76</v>
      </c>
      <c r="F39" t="s">
        <v>76</v>
      </c>
      <c r="G39" t="s">
        <v>76</v>
      </c>
    </row>
    <row r="40" spans="1:7">
      <c r="B40" t="s">
        <v>76</v>
      </c>
      <c r="C40" t="s">
        <v>76</v>
      </c>
      <c r="D40" t="s">
        <v>76</v>
      </c>
      <c r="E40" t="s">
        <v>76</v>
      </c>
      <c r="F40" t="s">
        <v>76</v>
      </c>
      <c r="G40" t="s">
        <v>76</v>
      </c>
    </row>
    <row r="41" spans="1:7">
      <c r="B41" t="s">
        <v>76</v>
      </c>
      <c r="C41" t="s">
        <v>76</v>
      </c>
      <c r="D41" t="s">
        <v>76</v>
      </c>
      <c r="E41" t="s">
        <v>76</v>
      </c>
      <c r="F41" t="s">
        <v>76</v>
      </c>
      <c r="G41" t="s">
        <v>76</v>
      </c>
    </row>
    <row r="42" spans="1:7">
      <c r="B42" t="s">
        <v>144</v>
      </c>
      <c r="C42" t="s">
        <v>76</v>
      </c>
      <c r="D42" t="s">
        <v>76</v>
      </c>
      <c r="E42" t="s">
        <v>76</v>
      </c>
      <c r="F42" t="s">
        <v>76</v>
      </c>
      <c r="G42" t="s">
        <v>76</v>
      </c>
    </row>
    <row r="43" spans="1:7">
      <c r="B43" t="s">
        <v>233</v>
      </c>
      <c r="C43" t="s">
        <v>76</v>
      </c>
      <c r="D43" t="s">
        <v>76</v>
      </c>
      <c r="E43" t="s">
        <v>76</v>
      </c>
      <c r="F43" t="s">
        <v>76</v>
      </c>
      <c r="G43" t="s">
        <v>76</v>
      </c>
    </row>
    <row r="44" spans="1:7">
      <c r="A44" t="s">
        <v>83</v>
      </c>
      <c r="B44" t="s">
        <v>234</v>
      </c>
      <c r="C44" t="s">
        <v>76</v>
      </c>
      <c r="D44" t="s">
        <v>76</v>
      </c>
      <c r="E44" t="s">
        <v>76</v>
      </c>
      <c r="F44" t="s">
        <v>76</v>
      </c>
      <c r="G44" t="s">
        <v>76</v>
      </c>
    </row>
    <row r="45" spans="1:7">
      <c r="A45" t="s">
        <v>88</v>
      </c>
      <c r="B45" t="s">
        <v>235</v>
      </c>
      <c r="C45" t="s">
        <v>76</v>
      </c>
      <c r="D45" t="s">
        <v>76</v>
      </c>
      <c r="E45" t="s">
        <v>76</v>
      </c>
      <c r="F45" t="s">
        <v>76</v>
      </c>
      <c r="G45" t="s">
        <v>76</v>
      </c>
    </row>
    <row r="46" spans="1:7">
      <c r="A46" t="s">
        <v>94</v>
      </c>
      <c r="B46" t="s">
        <v>236</v>
      </c>
      <c r="C46" t="s">
        <v>76</v>
      </c>
      <c r="D46" t="s">
        <v>76</v>
      </c>
      <c r="E46" t="s">
        <v>76</v>
      </c>
      <c r="F46" t="s">
        <v>76</v>
      </c>
      <c r="G46" t="s">
        <v>76</v>
      </c>
    </row>
    <row r="47" spans="1:7">
      <c r="A47" t="s">
        <v>99</v>
      </c>
      <c r="B47" t="s">
        <v>237</v>
      </c>
      <c r="C47" t="s">
        <v>76</v>
      </c>
      <c r="D47" t="s">
        <v>76</v>
      </c>
      <c r="E47" t="s">
        <v>76</v>
      </c>
      <c r="F47" t="s">
        <v>76</v>
      </c>
      <c r="G47" t="s">
        <v>76</v>
      </c>
    </row>
    <row r="48" spans="1:7">
      <c r="A48" t="s">
        <v>104</v>
      </c>
      <c r="B48" t="s">
        <v>238</v>
      </c>
      <c r="C48" t="s">
        <v>76</v>
      </c>
      <c r="D48" t="s">
        <v>76</v>
      </c>
      <c r="E48" t="s">
        <v>76</v>
      </c>
      <c r="F48" t="s">
        <v>76</v>
      </c>
      <c r="G48" t="s">
        <v>76</v>
      </c>
    </row>
    <row r="49" spans="1:7">
      <c r="A49" t="s">
        <v>109</v>
      </c>
      <c r="B49" t="s">
        <v>239</v>
      </c>
      <c r="C49" t="s">
        <v>76</v>
      </c>
      <c r="D49" t="s">
        <v>76</v>
      </c>
      <c r="E49" t="s">
        <v>76</v>
      </c>
      <c r="F49" t="s">
        <v>76</v>
      </c>
      <c r="G49" t="s">
        <v>76</v>
      </c>
    </row>
    <row r="50" spans="1:7">
      <c r="B50" t="s">
        <v>76</v>
      </c>
      <c r="C50" t="s">
        <v>76</v>
      </c>
      <c r="D50" t="s">
        <v>76</v>
      </c>
      <c r="E50" t="s">
        <v>76</v>
      </c>
      <c r="F50" t="s">
        <v>76</v>
      </c>
      <c r="G50" t="s">
        <v>76</v>
      </c>
    </row>
    <row r="51" spans="1:7">
      <c r="B51" t="s">
        <v>76</v>
      </c>
      <c r="C51" t="s">
        <v>76</v>
      </c>
      <c r="D51" t="s">
        <v>76</v>
      </c>
      <c r="E51" t="s">
        <v>76</v>
      </c>
      <c r="F51" t="s">
        <v>76</v>
      </c>
      <c r="G51" t="s">
        <v>76</v>
      </c>
    </row>
    <row r="52" spans="1:7">
      <c r="B52" t="s">
        <v>152</v>
      </c>
      <c r="C52" t="s">
        <v>76</v>
      </c>
      <c r="D52" t="s">
        <v>76</v>
      </c>
      <c r="E52" t="s">
        <v>76</v>
      </c>
      <c r="F52" t="s">
        <v>76</v>
      </c>
      <c r="G52" t="s">
        <v>76</v>
      </c>
    </row>
    <row r="53" spans="1:7">
      <c r="B53" t="s">
        <v>233</v>
      </c>
      <c r="C53" t="s">
        <v>76</v>
      </c>
      <c r="D53" t="s">
        <v>76</v>
      </c>
      <c r="E53" t="s">
        <v>76</v>
      </c>
      <c r="F53" t="s">
        <v>76</v>
      </c>
      <c r="G53" t="s">
        <v>76</v>
      </c>
    </row>
    <row r="54" spans="1:7">
      <c r="A54" t="s">
        <v>83</v>
      </c>
      <c r="B54" t="s">
        <v>240</v>
      </c>
      <c r="C54" t="s">
        <v>76</v>
      </c>
      <c r="D54" t="s">
        <v>76</v>
      </c>
      <c r="E54" t="s">
        <v>76</v>
      </c>
      <c r="F54" t="s">
        <v>76</v>
      </c>
      <c r="G54" t="s">
        <v>76</v>
      </c>
    </row>
    <row r="55" spans="1:7">
      <c r="A55" t="s">
        <v>88</v>
      </c>
      <c r="B55" t="s">
        <v>241</v>
      </c>
      <c r="C55" t="s">
        <v>76</v>
      </c>
      <c r="D55" t="s">
        <v>76</v>
      </c>
      <c r="E55" t="s">
        <v>76</v>
      </c>
      <c r="F55" t="s">
        <v>76</v>
      </c>
      <c r="G55" t="s">
        <v>76</v>
      </c>
    </row>
    <row r="56" spans="1:7">
      <c r="A56" t="s">
        <v>94</v>
      </c>
      <c r="B56" t="s">
        <v>242</v>
      </c>
      <c r="C56" t="s">
        <v>76</v>
      </c>
      <c r="D56" t="s">
        <v>76</v>
      </c>
      <c r="E56" t="s">
        <v>76</v>
      </c>
      <c r="F56" t="s">
        <v>76</v>
      </c>
      <c r="G56" t="s">
        <v>76</v>
      </c>
    </row>
    <row r="57" spans="1:7">
      <c r="A57" t="s">
        <v>99</v>
      </c>
      <c r="B57" t="s">
        <v>243</v>
      </c>
      <c r="C57" t="s">
        <v>76</v>
      </c>
      <c r="D57" t="s">
        <v>76</v>
      </c>
      <c r="E57" t="s">
        <v>76</v>
      </c>
      <c r="F57" t="s">
        <v>76</v>
      </c>
      <c r="G57" t="s">
        <v>76</v>
      </c>
    </row>
    <row r="58" spans="1:7">
      <c r="A58" t="s">
        <v>104</v>
      </c>
      <c r="B58" t="s">
        <v>244</v>
      </c>
      <c r="C58" t="s">
        <v>76</v>
      </c>
      <c r="D58" t="s">
        <v>76</v>
      </c>
      <c r="E58" t="s">
        <v>76</v>
      </c>
      <c r="F58" t="s">
        <v>76</v>
      </c>
      <c r="G58" t="s">
        <v>76</v>
      </c>
    </row>
    <row r="59" spans="1:7">
      <c r="A59" t="s">
        <v>109</v>
      </c>
      <c r="B59" t="s">
        <v>245</v>
      </c>
      <c r="C59" t="s">
        <v>76</v>
      </c>
      <c r="D59" t="s">
        <v>76</v>
      </c>
      <c r="E59" t="s">
        <v>76</v>
      </c>
      <c r="F59" t="s">
        <v>76</v>
      </c>
      <c r="G59" t="s">
        <v>76</v>
      </c>
    </row>
  </sheetData>
  <sheetProtection algorithmName="SHA-512" hashValue="V933GJ8BQtxHtCr1k37eGNE+dDasj2mPpZO9bETP4USGTJDVWpoCs3ldh3DEiZ61HVLCFrTlILaEHH6nxU4DoQ==" saltValue="4pif2ICHuc1P5ly8rGRTMA==" spinCount="100000" sheet="1" objects="1" scenarios="1"/>
  <phoneticPr fontId="42" type="noConversion"/>
  <pageMargins left="0.7" right="0.7" top="0.78740157499999996" bottom="0.78740157499999996" header="0.3" footer="0.3"/>
  <pageSetup paperSize="9" orientation="portrait" r:id="rId1"/>
  <headerFooter>
    <oddFooter>&amp;C&amp;1#&amp;"Arial"&amp;10&amp;K000000---Internal Use---</oddFooter>
  </headerFooter>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5D7A06-071F-4178-9FCE-CC5E0D47EE70}">
  <sheetPr codeName="Tabelle12"/>
  <dimension ref="A1:G59"/>
  <sheetViews>
    <sheetView workbookViewId="0"/>
  </sheetViews>
  <sheetFormatPr defaultColWidth="11.42578125" defaultRowHeight="15"/>
  <cols>
    <col min="1" max="1" width="15.42578125" bestFit="1" customWidth="1"/>
    <col min="2" max="2" width="14.42578125" customWidth="1"/>
    <col min="3" max="3" width="14.42578125" bestFit="1" customWidth="1"/>
    <col min="4" max="4" width="11.140625" bestFit="1" customWidth="1"/>
    <col min="5" max="5" width="22.7109375" bestFit="1" customWidth="1"/>
    <col min="6" max="7" width="11.140625" bestFit="1" customWidth="1"/>
    <col min="8" max="8" width="17.7109375" bestFit="1" customWidth="1"/>
  </cols>
  <sheetData>
    <row r="1" spans="1:7">
      <c r="A1" t="s">
        <v>68</v>
      </c>
      <c r="B1" t="s">
        <v>69</v>
      </c>
      <c r="C1" t="s">
        <v>70</v>
      </c>
      <c r="D1" t="s">
        <v>71</v>
      </c>
      <c r="E1" t="s">
        <v>72</v>
      </c>
      <c r="F1" t="s">
        <v>73</v>
      </c>
      <c r="G1" t="s">
        <v>74</v>
      </c>
    </row>
    <row r="2" spans="1:7">
      <c r="B2" t="s">
        <v>75</v>
      </c>
      <c r="C2" t="s">
        <v>76</v>
      </c>
      <c r="D2" t="s">
        <v>76</v>
      </c>
      <c r="E2" t="s">
        <v>76</v>
      </c>
      <c r="F2" t="s">
        <v>76</v>
      </c>
      <c r="G2" t="s">
        <v>76</v>
      </c>
    </row>
    <row r="3" spans="1:7">
      <c r="B3" t="s">
        <v>77</v>
      </c>
      <c r="C3" t="s">
        <v>78</v>
      </c>
      <c r="D3" t="s">
        <v>79</v>
      </c>
      <c r="E3" t="s">
        <v>80</v>
      </c>
      <c r="F3" t="s">
        <v>81</v>
      </c>
      <c r="G3" t="s">
        <v>82</v>
      </c>
    </row>
    <row r="4" spans="1:7">
      <c r="A4" t="s">
        <v>83</v>
      </c>
      <c r="B4" t="s">
        <v>164</v>
      </c>
      <c r="C4" t="s">
        <v>165</v>
      </c>
      <c r="D4" t="s">
        <v>166</v>
      </c>
      <c r="E4" t="s">
        <v>167</v>
      </c>
      <c r="F4" t="s">
        <v>168</v>
      </c>
      <c r="G4" t="s">
        <v>76</v>
      </c>
    </row>
    <row r="5" spans="1:7">
      <c r="A5" t="s">
        <v>88</v>
      </c>
      <c r="B5" t="s">
        <v>169</v>
      </c>
      <c r="C5" t="s">
        <v>170</v>
      </c>
      <c r="D5" t="s">
        <v>123</v>
      </c>
      <c r="E5" t="s">
        <v>171</v>
      </c>
      <c r="F5" t="s">
        <v>111</v>
      </c>
      <c r="G5" t="s">
        <v>76</v>
      </c>
    </row>
    <row r="6" spans="1:7">
      <c r="A6" t="s">
        <v>94</v>
      </c>
      <c r="B6" t="s">
        <v>172</v>
      </c>
      <c r="C6" t="s">
        <v>165</v>
      </c>
      <c r="D6" t="s">
        <v>173</v>
      </c>
      <c r="E6" t="s">
        <v>174</v>
      </c>
      <c r="F6" t="s">
        <v>76</v>
      </c>
      <c r="G6" t="s">
        <v>76</v>
      </c>
    </row>
    <row r="7" spans="1:7">
      <c r="A7" t="s">
        <v>99</v>
      </c>
      <c r="B7" t="s">
        <v>175</v>
      </c>
      <c r="C7" t="s">
        <v>176</v>
      </c>
      <c r="D7" t="s">
        <v>177</v>
      </c>
      <c r="E7" t="s">
        <v>100</v>
      </c>
      <c r="F7" t="s">
        <v>76</v>
      </c>
      <c r="G7" t="s">
        <v>76</v>
      </c>
    </row>
    <row r="8" spans="1:7">
      <c r="A8" t="s">
        <v>104</v>
      </c>
      <c r="B8" t="s">
        <v>178</v>
      </c>
      <c r="C8" t="s">
        <v>105</v>
      </c>
      <c r="D8" t="s">
        <v>179</v>
      </c>
      <c r="E8" t="s">
        <v>180</v>
      </c>
      <c r="F8" t="s">
        <v>76</v>
      </c>
      <c r="G8" t="s">
        <v>181</v>
      </c>
    </row>
    <row r="9" spans="1:7">
      <c r="A9" t="s">
        <v>109</v>
      </c>
      <c r="B9" t="s">
        <v>182</v>
      </c>
      <c r="C9" t="s">
        <v>183</v>
      </c>
      <c r="D9" t="s">
        <v>184</v>
      </c>
      <c r="E9" t="s">
        <v>185</v>
      </c>
      <c r="F9" t="s">
        <v>186</v>
      </c>
      <c r="G9" t="s">
        <v>76</v>
      </c>
    </row>
    <row r="10" spans="1:7">
      <c r="B10" t="s">
        <v>76</v>
      </c>
      <c r="C10" t="s">
        <v>76</v>
      </c>
      <c r="D10" t="s">
        <v>76</v>
      </c>
      <c r="E10" t="s">
        <v>76</v>
      </c>
      <c r="F10" t="s">
        <v>76</v>
      </c>
      <c r="G10" t="s">
        <v>76</v>
      </c>
    </row>
    <row r="11" spans="1:7">
      <c r="B11" t="s">
        <v>76</v>
      </c>
      <c r="C11" t="s">
        <v>76</v>
      </c>
      <c r="D11" t="s">
        <v>76</v>
      </c>
      <c r="E11" t="s">
        <v>76</v>
      </c>
      <c r="F11" t="s">
        <v>76</v>
      </c>
      <c r="G11" t="s">
        <v>76</v>
      </c>
    </row>
    <row r="12" spans="1:7">
      <c r="B12" t="s">
        <v>115</v>
      </c>
      <c r="C12" t="s">
        <v>76</v>
      </c>
      <c r="D12" t="s">
        <v>76</v>
      </c>
      <c r="E12" t="s">
        <v>76</v>
      </c>
      <c r="F12" t="s">
        <v>76</v>
      </c>
      <c r="G12" t="s">
        <v>76</v>
      </c>
    </row>
    <row r="13" spans="1:7">
      <c r="B13" t="s">
        <v>76</v>
      </c>
      <c r="C13" t="s">
        <v>76</v>
      </c>
      <c r="D13" t="s">
        <v>76</v>
      </c>
      <c r="E13" t="s">
        <v>76</v>
      </c>
      <c r="F13" t="s">
        <v>76</v>
      </c>
      <c r="G13" t="s">
        <v>76</v>
      </c>
    </row>
    <row r="14" spans="1:7">
      <c r="B14" t="s">
        <v>76</v>
      </c>
      <c r="C14" t="s">
        <v>76</v>
      </c>
      <c r="D14" t="s">
        <v>76</v>
      </c>
      <c r="E14" t="s">
        <v>76</v>
      </c>
      <c r="F14" t="s">
        <v>76</v>
      </c>
      <c r="G14" t="s">
        <v>76</v>
      </c>
    </row>
    <row r="15" spans="1:7">
      <c r="B15" t="s">
        <v>76</v>
      </c>
      <c r="C15" t="s">
        <v>76</v>
      </c>
      <c r="D15" t="s">
        <v>76</v>
      </c>
      <c r="E15" t="s">
        <v>76</v>
      </c>
      <c r="F15" t="s">
        <v>76</v>
      </c>
      <c r="G15" t="s">
        <v>76</v>
      </c>
    </row>
    <row r="16" spans="1:7">
      <c r="B16" t="s">
        <v>76</v>
      </c>
      <c r="C16" t="s">
        <v>76</v>
      </c>
      <c r="D16" t="s">
        <v>76</v>
      </c>
      <c r="E16" t="s">
        <v>76</v>
      </c>
      <c r="F16" t="s">
        <v>76</v>
      </c>
      <c r="G16" t="s">
        <v>76</v>
      </c>
    </row>
    <row r="17" spans="2:7">
      <c r="B17" t="s">
        <v>76</v>
      </c>
      <c r="C17" t="s">
        <v>76</v>
      </c>
      <c r="D17" t="s">
        <v>76</v>
      </c>
      <c r="E17" t="s">
        <v>76</v>
      </c>
      <c r="F17" t="s">
        <v>76</v>
      </c>
      <c r="G17" t="s">
        <v>76</v>
      </c>
    </row>
    <row r="18" spans="2:7">
      <c r="B18" t="s">
        <v>76</v>
      </c>
      <c r="C18" t="s">
        <v>76</v>
      </c>
      <c r="D18" t="s">
        <v>76</v>
      </c>
      <c r="E18" t="s">
        <v>76</v>
      </c>
      <c r="F18" t="s">
        <v>76</v>
      </c>
      <c r="G18" t="s">
        <v>76</v>
      </c>
    </row>
    <row r="19" spans="2:7">
      <c r="B19" t="s">
        <v>76</v>
      </c>
      <c r="C19" t="s">
        <v>76</v>
      </c>
      <c r="D19" t="s">
        <v>76</v>
      </c>
      <c r="E19" t="s">
        <v>76</v>
      </c>
      <c r="F19" t="s">
        <v>76</v>
      </c>
      <c r="G19" t="s">
        <v>76</v>
      </c>
    </row>
    <row r="20" spans="2:7">
      <c r="B20" t="s">
        <v>76</v>
      </c>
      <c r="C20" t="s">
        <v>76</v>
      </c>
      <c r="D20" t="s">
        <v>76</v>
      </c>
      <c r="E20" t="s">
        <v>76</v>
      </c>
      <c r="F20" t="s">
        <v>76</v>
      </c>
      <c r="G20" t="s">
        <v>76</v>
      </c>
    </row>
    <row r="21" spans="2:7">
      <c r="B21" t="s">
        <v>116</v>
      </c>
      <c r="C21" t="s">
        <v>76</v>
      </c>
      <c r="D21" t="s">
        <v>76</v>
      </c>
      <c r="E21" t="s">
        <v>76</v>
      </c>
      <c r="F21" t="s">
        <v>76</v>
      </c>
      <c r="G21" t="s">
        <v>76</v>
      </c>
    </row>
    <row r="22" spans="2:7">
      <c r="B22" t="s">
        <v>76</v>
      </c>
      <c r="C22" t="s">
        <v>76</v>
      </c>
      <c r="D22" t="s">
        <v>76</v>
      </c>
      <c r="E22" t="s">
        <v>76</v>
      </c>
      <c r="F22" t="s">
        <v>76</v>
      </c>
      <c r="G22" t="s">
        <v>76</v>
      </c>
    </row>
    <row r="23" spans="2:7">
      <c r="B23" t="s">
        <v>76</v>
      </c>
      <c r="C23" t="s">
        <v>76</v>
      </c>
      <c r="D23" t="s">
        <v>76</v>
      </c>
      <c r="E23" t="s">
        <v>76</v>
      </c>
      <c r="F23" t="s">
        <v>76</v>
      </c>
      <c r="G23" t="s">
        <v>76</v>
      </c>
    </row>
    <row r="24" spans="2:7">
      <c r="B24" t="s">
        <v>76</v>
      </c>
      <c r="C24" t="s">
        <v>76</v>
      </c>
      <c r="D24" t="s">
        <v>76</v>
      </c>
      <c r="E24" t="s">
        <v>76</v>
      </c>
      <c r="F24" t="s">
        <v>76</v>
      </c>
      <c r="G24" t="s">
        <v>76</v>
      </c>
    </row>
    <row r="25" spans="2:7">
      <c r="B25" t="s">
        <v>76</v>
      </c>
      <c r="C25" t="s">
        <v>76</v>
      </c>
      <c r="D25" t="s">
        <v>76</v>
      </c>
      <c r="E25" t="s">
        <v>76</v>
      </c>
      <c r="F25" t="s">
        <v>76</v>
      </c>
      <c r="G25" t="s">
        <v>76</v>
      </c>
    </row>
    <row r="26" spans="2:7">
      <c r="B26" t="s">
        <v>76</v>
      </c>
      <c r="C26" t="s">
        <v>76</v>
      </c>
      <c r="D26" t="s">
        <v>76</v>
      </c>
      <c r="E26" t="s">
        <v>76</v>
      </c>
      <c r="F26" t="s">
        <v>76</v>
      </c>
      <c r="G26" t="s">
        <v>76</v>
      </c>
    </row>
    <row r="27" spans="2:7">
      <c r="B27" t="s">
        <v>76</v>
      </c>
      <c r="C27" t="s">
        <v>76</v>
      </c>
      <c r="D27" t="s">
        <v>76</v>
      </c>
      <c r="E27" t="s">
        <v>76</v>
      </c>
      <c r="F27" t="s">
        <v>76</v>
      </c>
      <c r="G27" t="s">
        <v>76</v>
      </c>
    </row>
    <row r="28" spans="2:7">
      <c r="B28" t="s">
        <v>76</v>
      </c>
      <c r="C28" t="s">
        <v>76</v>
      </c>
      <c r="D28" t="s">
        <v>76</v>
      </c>
      <c r="E28" t="s">
        <v>76</v>
      </c>
      <c r="F28" t="s">
        <v>76</v>
      </c>
      <c r="G28" t="s">
        <v>76</v>
      </c>
    </row>
    <row r="29" spans="2:7">
      <c r="B29" t="s">
        <v>76</v>
      </c>
      <c r="C29" t="s">
        <v>76</v>
      </c>
      <c r="D29" t="s">
        <v>76</v>
      </c>
      <c r="E29" t="s">
        <v>76</v>
      </c>
      <c r="F29" t="s">
        <v>76</v>
      </c>
      <c r="G29" t="s">
        <v>76</v>
      </c>
    </row>
    <row r="30" spans="2:7">
      <c r="B30" t="s">
        <v>76</v>
      </c>
      <c r="C30" t="s">
        <v>76</v>
      </c>
      <c r="D30" t="s">
        <v>76</v>
      </c>
      <c r="E30" t="s">
        <v>76</v>
      </c>
      <c r="F30" t="s">
        <v>76</v>
      </c>
      <c r="G30" t="s">
        <v>76</v>
      </c>
    </row>
    <row r="31" spans="2:7">
      <c r="B31" t="s">
        <v>117</v>
      </c>
      <c r="C31" t="s">
        <v>76</v>
      </c>
      <c r="D31" t="s">
        <v>76</v>
      </c>
      <c r="E31" t="s">
        <v>76</v>
      </c>
      <c r="F31" t="s">
        <v>76</v>
      </c>
      <c r="G31" t="s">
        <v>76</v>
      </c>
    </row>
    <row r="32" spans="2:7">
      <c r="B32" t="s">
        <v>77</v>
      </c>
      <c r="C32" t="s">
        <v>78</v>
      </c>
      <c r="D32" t="s">
        <v>118</v>
      </c>
      <c r="E32" t="s">
        <v>119</v>
      </c>
      <c r="F32" t="s">
        <v>120</v>
      </c>
      <c r="G32" t="s">
        <v>121</v>
      </c>
    </row>
    <row r="33" spans="1:7">
      <c r="A33" t="s">
        <v>83</v>
      </c>
      <c r="B33" t="s">
        <v>246</v>
      </c>
      <c r="C33" t="s">
        <v>247</v>
      </c>
      <c r="D33" t="s">
        <v>248</v>
      </c>
      <c r="E33" t="s">
        <v>197</v>
      </c>
      <c r="F33" t="s">
        <v>76</v>
      </c>
      <c r="G33" t="s">
        <v>76</v>
      </c>
    </row>
    <row r="34" spans="1:7">
      <c r="A34" t="s">
        <v>88</v>
      </c>
      <c r="B34" t="s">
        <v>249</v>
      </c>
      <c r="C34" t="s">
        <v>130</v>
      </c>
      <c r="D34" t="s">
        <v>250</v>
      </c>
      <c r="E34" t="s">
        <v>251</v>
      </c>
      <c r="F34" t="s">
        <v>76</v>
      </c>
      <c r="G34" t="s">
        <v>76</v>
      </c>
    </row>
    <row r="35" spans="1:7">
      <c r="A35" t="s">
        <v>94</v>
      </c>
      <c r="B35" t="s">
        <v>252</v>
      </c>
      <c r="C35" t="s">
        <v>105</v>
      </c>
      <c r="D35" t="s">
        <v>210</v>
      </c>
      <c r="E35" t="s">
        <v>184</v>
      </c>
      <c r="F35" t="s">
        <v>76</v>
      </c>
      <c r="G35" t="s">
        <v>76</v>
      </c>
    </row>
    <row r="36" spans="1:7">
      <c r="A36" t="s">
        <v>99</v>
      </c>
      <c r="B36" t="s">
        <v>253</v>
      </c>
      <c r="C36" t="s">
        <v>105</v>
      </c>
      <c r="D36" t="s">
        <v>254</v>
      </c>
      <c r="E36" t="s">
        <v>255</v>
      </c>
      <c r="F36" t="s">
        <v>256</v>
      </c>
      <c r="G36" t="s">
        <v>257</v>
      </c>
    </row>
    <row r="37" spans="1:7">
      <c r="A37" t="s">
        <v>104</v>
      </c>
      <c r="B37" t="s">
        <v>258</v>
      </c>
      <c r="C37" t="s">
        <v>206</v>
      </c>
      <c r="D37" t="s">
        <v>213</v>
      </c>
      <c r="E37" t="s">
        <v>259</v>
      </c>
      <c r="F37" t="s">
        <v>76</v>
      </c>
      <c r="G37" t="s">
        <v>76</v>
      </c>
    </row>
    <row r="38" spans="1:7">
      <c r="A38" t="s">
        <v>109</v>
      </c>
      <c r="B38" t="s">
        <v>260</v>
      </c>
      <c r="C38" t="s">
        <v>105</v>
      </c>
      <c r="D38" t="s">
        <v>261</v>
      </c>
      <c r="E38" t="s">
        <v>232</v>
      </c>
      <c r="F38" t="s">
        <v>76</v>
      </c>
      <c r="G38" t="s">
        <v>76</v>
      </c>
    </row>
    <row r="39" spans="1:7">
      <c r="B39" t="s">
        <v>76</v>
      </c>
      <c r="C39" t="s">
        <v>76</v>
      </c>
      <c r="D39" t="s">
        <v>76</v>
      </c>
      <c r="E39" t="s">
        <v>76</v>
      </c>
      <c r="F39" t="s">
        <v>76</v>
      </c>
      <c r="G39" t="s">
        <v>76</v>
      </c>
    </row>
    <row r="40" spans="1:7">
      <c r="B40" t="s">
        <v>76</v>
      </c>
      <c r="C40" t="s">
        <v>76</v>
      </c>
      <c r="D40" t="s">
        <v>76</v>
      </c>
      <c r="E40" t="s">
        <v>76</v>
      </c>
      <c r="F40" t="s">
        <v>76</v>
      </c>
      <c r="G40" t="s">
        <v>76</v>
      </c>
    </row>
    <row r="41" spans="1:7">
      <c r="B41" t="s">
        <v>76</v>
      </c>
      <c r="C41" t="s">
        <v>76</v>
      </c>
      <c r="D41" t="s">
        <v>76</v>
      </c>
      <c r="E41" t="s">
        <v>76</v>
      </c>
      <c r="F41" t="s">
        <v>76</v>
      </c>
      <c r="G41" t="s">
        <v>76</v>
      </c>
    </row>
    <row r="42" spans="1:7">
      <c r="B42" t="s">
        <v>144</v>
      </c>
      <c r="C42" t="s">
        <v>76</v>
      </c>
      <c r="D42" t="s">
        <v>76</v>
      </c>
      <c r="E42" t="s">
        <v>76</v>
      </c>
      <c r="F42" t="s">
        <v>76</v>
      </c>
      <c r="G42" t="s">
        <v>76</v>
      </c>
    </row>
    <row r="43" spans="1:7">
      <c r="B43" t="s">
        <v>233</v>
      </c>
      <c r="C43" t="s">
        <v>76</v>
      </c>
      <c r="D43" t="s">
        <v>76</v>
      </c>
      <c r="E43" t="s">
        <v>76</v>
      </c>
      <c r="F43" t="s">
        <v>76</v>
      </c>
      <c r="G43" t="s">
        <v>76</v>
      </c>
    </row>
    <row r="44" spans="1:7">
      <c r="A44" t="s">
        <v>83</v>
      </c>
      <c r="B44" t="s">
        <v>234</v>
      </c>
      <c r="C44" t="s">
        <v>76</v>
      </c>
      <c r="D44" t="s">
        <v>76</v>
      </c>
      <c r="E44" t="s">
        <v>76</v>
      </c>
      <c r="F44" t="s">
        <v>76</v>
      </c>
      <c r="G44" t="s">
        <v>76</v>
      </c>
    </row>
    <row r="45" spans="1:7">
      <c r="A45" t="s">
        <v>88</v>
      </c>
      <c r="B45" t="s">
        <v>235</v>
      </c>
      <c r="C45" t="s">
        <v>76</v>
      </c>
      <c r="D45" t="s">
        <v>76</v>
      </c>
      <c r="E45" t="s">
        <v>76</v>
      </c>
      <c r="F45" t="s">
        <v>76</v>
      </c>
      <c r="G45" t="s">
        <v>76</v>
      </c>
    </row>
    <row r="46" spans="1:7">
      <c r="A46" t="s">
        <v>94</v>
      </c>
      <c r="B46" t="s">
        <v>236</v>
      </c>
      <c r="C46" t="s">
        <v>76</v>
      </c>
      <c r="D46" t="s">
        <v>76</v>
      </c>
      <c r="E46" t="s">
        <v>76</v>
      </c>
      <c r="F46" t="s">
        <v>76</v>
      </c>
      <c r="G46" t="s">
        <v>76</v>
      </c>
    </row>
    <row r="47" spans="1:7">
      <c r="A47" t="s">
        <v>99</v>
      </c>
      <c r="B47" t="s">
        <v>237</v>
      </c>
      <c r="C47" t="s">
        <v>76</v>
      </c>
      <c r="D47" t="s">
        <v>76</v>
      </c>
      <c r="E47" t="s">
        <v>76</v>
      </c>
      <c r="F47" t="s">
        <v>76</v>
      </c>
      <c r="G47" t="s">
        <v>76</v>
      </c>
    </row>
    <row r="48" spans="1:7">
      <c r="A48" t="s">
        <v>104</v>
      </c>
      <c r="B48" t="s">
        <v>238</v>
      </c>
      <c r="C48" t="s">
        <v>76</v>
      </c>
      <c r="D48" t="s">
        <v>76</v>
      </c>
      <c r="E48" t="s">
        <v>76</v>
      </c>
      <c r="F48" t="s">
        <v>76</v>
      </c>
      <c r="G48" t="s">
        <v>76</v>
      </c>
    </row>
    <row r="49" spans="1:7">
      <c r="A49" t="s">
        <v>109</v>
      </c>
      <c r="B49" t="s">
        <v>239</v>
      </c>
      <c r="C49" t="s">
        <v>76</v>
      </c>
      <c r="D49" t="s">
        <v>76</v>
      </c>
      <c r="E49" t="s">
        <v>76</v>
      </c>
      <c r="F49" t="s">
        <v>76</v>
      </c>
      <c r="G49" t="s">
        <v>76</v>
      </c>
    </row>
    <row r="50" spans="1:7">
      <c r="B50" t="s">
        <v>76</v>
      </c>
      <c r="C50" t="s">
        <v>76</v>
      </c>
      <c r="D50" t="s">
        <v>76</v>
      </c>
      <c r="E50" t="s">
        <v>76</v>
      </c>
      <c r="F50" t="s">
        <v>76</v>
      </c>
      <c r="G50" t="s">
        <v>76</v>
      </c>
    </row>
    <row r="51" spans="1:7">
      <c r="B51" t="s">
        <v>76</v>
      </c>
      <c r="C51" t="s">
        <v>76</v>
      </c>
      <c r="D51" t="s">
        <v>76</v>
      </c>
      <c r="E51" t="s">
        <v>76</v>
      </c>
      <c r="F51" t="s">
        <v>76</v>
      </c>
      <c r="G51" t="s">
        <v>76</v>
      </c>
    </row>
    <row r="52" spans="1:7">
      <c r="B52" t="s">
        <v>152</v>
      </c>
      <c r="C52" t="s">
        <v>76</v>
      </c>
      <c r="D52" t="s">
        <v>76</v>
      </c>
      <c r="E52" t="s">
        <v>76</v>
      </c>
      <c r="F52" t="s">
        <v>76</v>
      </c>
      <c r="G52" t="s">
        <v>76</v>
      </c>
    </row>
    <row r="53" spans="1:7">
      <c r="B53" t="s">
        <v>153</v>
      </c>
      <c r="C53" t="s">
        <v>118</v>
      </c>
      <c r="D53" t="s">
        <v>154</v>
      </c>
      <c r="E53" t="s">
        <v>76</v>
      </c>
      <c r="F53" t="s">
        <v>76</v>
      </c>
      <c r="G53" t="s">
        <v>76</v>
      </c>
    </row>
    <row r="54" spans="1:7">
      <c r="A54" t="s">
        <v>83</v>
      </c>
      <c r="B54" t="s">
        <v>262</v>
      </c>
      <c r="C54" t="s">
        <v>262</v>
      </c>
      <c r="D54" t="s">
        <v>262</v>
      </c>
      <c r="E54" t="s">
        <v>76</v>
      </c>
      <c r="F54" t="s">
        <v>76</v>
      </c>
      <c r="G54" t="s">
        <v>76</v>
      </c>
    </row>
    <row r="55" spans="1:7">
      <c r="A55" t="s">
        <v>88</v>
      </c>
      <c r="B55" t="s">
        <v>263</v>
      </c>
      <c r="C55" t="s">
        <v>263</v>
      </c>
      <c r="D55" t="s">
        <v>263</v>
      </c>
      <c r="E55" t="s">
        <v>76</v>
      </c>
      <c r="F55" t="s">
        <v>76</v>
      </c>
      <c r="G55" t="s">
        <v>76</v>
      </c>
    </row>
    <row r="56" spans="1:7">
      <c r="A56" t="s">
        <v>94</v>
      </c>
      <c r="B56" t="s">
        <v>264</v>
      </c>
      <c r="C56" t="s">
        <v>265</v>
      </c>
      <c r="D56" t="s">
        <v>265</v>
      </c>
      <c r="E56" t="s">
        <v>76</v>
      </c>
      <c r="F56" t="s">
        <v>76</v>
      </c>
      <c r="G56" t="s">
        <v>76</v>
      </c>
    </row>
    <row r="57" spans="1:7">
      <c r="A57" t="s">
        <v>99</v>
      </c>
      <c r="B57" t="s">
        <v>266</v>
      </c>
      <c r="C57" t="s">
        <v>267</v>
      </c>
      <c r="D57" t="s">
        <v>268</v>
      </c>
      <c r="E57" t="s">
        <v>76</v>
      </c>
      <c r="F57" t="s">
        <v>76</v>
      </c>
      <c r="G57" t="s">
        <v>76</v>
      </c>
    </row>
    <row r="58" spans="1:7">
      <c r="A58" t="s">
        <v>104</v>
      </c>
      <c r="B58" t="s">
        <v>269</v>
      </c>
      <c r="C58" t="s">
        <v>269</v>
      </c>
      <c r="D58" t="s">
        <v>269</v>
      </c>
      <c r="E58" t="s">
        <v>76</v>
      </c>
      <c r="F58" t="s">
        <v>76</v>
      </c>
      <c r="G58" t="s">
        <v>76</v>
      </c>
    </row>
    <row r="59" spans="1:7">
      <c r="A59" t="s">
        <v>109</v>
      </c>
      <c r="B59" t="s">
        <v>161</v>
      </c>
      <c r="C59" t="s">
        <v>161</v>
      </c>
      <c r="D59" t="s">
        <v>161</v>
      </c>
      <c r="E59" t="s">
        <v>76</v>
      </c>
      <c r="F59" t="s">
        <v>76</v>
      </c>
      <c r="G59" t="s">
        <v>76</v>
      </c>
    </row>
  </sheetData>
  <sheetProtection algorithmName="SHA-512" hashValue="nonY7g6Qjz7fq0BHyg6EiTaqpLqLc2Uu01GeeFX/PDuMfPuSLDwAGr3i6UeDkGtOQBmLvhw9XYHHSllGu1DIUA==" saltValue="wr9P9MLTMVhD7gOCq8U2KQ==" spinCount="100000" sheet="1" objects="1" scenarios="1"/>
  <pageMargins left="0.7" right="0.7" top="0.78740157499999996" bottom="0.78740157499999996" header="0.3" footer="0.3"/>
  <pageSetup paperSize="9" orientation="portrait" r:id="rId1"/>
  <headerFooter>
    <oddFooter>&amp;C&amp;1#&amp;"Arial"&amp;10&amp;K000000---Internal Use---</oddFooter>
  </headerFooter>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DBE682-1219-4D1E-9461-3CC9F0FB2CD5}">
  <sheetPr codeName="Tabelle13"/>
  <dimension ref="A1:G59"/>
  <sheetViews>
    <sheetView workbookViewId="0"/>
  </sheetViews>
  <sheetFormatPr defaultColWidth="11.42578125" defaultRowHeight="15"/>
  <cols>
    <col min="1" max="1" width="15.42578125" bestFit="1" customWidth="1"/>
    <col min="2" max="2" width="14.42578125" bestFit="1" customWidth="1"/>
    <col min="3" max="3" width="11.140625" bestFit="1" customWidth="1"/>
    <col min="4" max="4" width="15.7109375" bestFit="1" customWidth="1"/>
    <col min="5" max="5" width="15.85546875" bestFit="1" customWidth="1"/>
    <col min="6" max="7" width="11.140625" bestFit="1" customWidth="1"/>
  </cols>
  <sheetData>
    <row r="1" spans="1:7">
      <c r="A1" t="s">
        <v>163</v>
      </c>
      <c r="B1" t="s">
        <v>69</v>
      </c>
      <c r="C1" t="s">
        <v>70</v>
      </c>
      <c r="D1" t="s">
        <v>71</v>
      </c>
      <c r="E1" t="s">
        <v>72</v>
      </c>
      <c r="F1" t="s">
        <v>73</v>
      </c>
      <c r="G1" t="s">
        <v>74</v>
      </c>
    </row>
    <row r="2" spans="1:7">
      <c r="B2" t="s">
        <v>75</v>
      </c>
      <c r="C2" t="s">
        <v>76</v>
      </c>
      <c r="D2" t="s">
        <v>76</v>
      </c>
      <c r="E2" t="s">
        <v>76</v>
      </c>
      <c r="F2" t="s">
        <v>76</v>
      </c>
      <c r="G2" t="s">
        <v>76</v>
      </c>
    </row>
    <row r="3" spans="1:7">
      <c r="B3" t="s">
        <v>77</v>
      </c>
      <c r="C3" t="s">
        <v>78</v>
      </c>
      <c r="D3" t="s">
        <v>79</v>
      </c>
      <c r="E3" t="s">
        <v>80</v>
      </c>
      <c r="F3" t="s">
        <v>81</v>
      </c>
      <c r="G3" t="s">
        <v>82</v>
      </c>
    </row>
    <row r="4" spans="1:7">
      <c r="A4" t="s">
        <v>83</v>
      </c>
      <c r="B4" t="s">
        <v>84</v>
      </c>
      <c r="C4" t="s">
        <v>85</v>
      </c>
      <c r="D4" t="s">
        <v>85</v>
      </c>
      <c r="E4" t="s">
        <v>86</v>
      </c>
      <c r="F4" t="s">
        <v>87</v>
      </c>
      <c r="G4" t="s">
        <v>76</v>
      </c>
    </row>
    <row r="5" spans="1:7">
      <c r="A5" t="s">
        <v>88</v>
      </c>
      <c r="B5" t="s">
        <v>89</v>
      </c>
      <c r="C5" t="s">
        <v>90</v>
      </c>
      <c r="D5" t="s">
        <v>91</v>
      </c>
      <c r="E5" t="s">
        <v>92</v>
      </c>
      <c r="F5" t="s">
        <v>93</v>
      </c>
      <c r="G5" t="s">
        <v>76</v>
      </c>
    </row>
    <row r="6" spans="1:7">
      <c r="A6" t="s">
        <v>94</v>
      </c>
      <c r="B6" t="s">
        <v>95</v>
      </c>
      <c r="C6" t="s">
        <v>96</v>
      </c>
      <c r="D6" t="s">
        <v>97</v>
      </c>
      <c r="E6" t="s">
        <v>98</v>
      </c>
      <c r="F6" t="s">
        <v>76</v>
      </c>
      <c r="G6" t="s">
        <v>76</v>
      </c>
    </row>
    <row r="7" spans="1:7">
      <c r="A7" t="s">
        <v>99</v>
      </c>
      <c r="B7" t="s">
        <v>100</v>
      </c>
      <c r="C7" t="s">
        <v>101</v>
      </c>
      <c r="D7" t="s">
        <v>102</v>
      </c>
      <c r="E7" t="s">
        <v>103</v>
      </c>
      <c r="F7" t="s">
        <v>76</v>
      </c>
      <c r="G7" t="s">
        <v>76</v>
      </c>
    </row>
    <row r="8" spans="1:7">
      <c r="A8" t="s">
        <v>104</v>
      </c>
      <c r="B8" t="s">
        <v>89</v>
      </c>
      <c r="C8" t="s">
        <v>105</v>
      </c>
      <c r="D8" t="s">
        <v>106</v>
      </c>
      <c r="E8" t="s">
        <v>107</v>
      </c>
      <c r="F8" t="s">
        <v>76</v>
      </c>
      <c r="G8" t="s">
        <v>108</v>
      </c>
    </row>
    <row r="9" spans="1:7">
      <c r="A9" t="s">
        <v>109</v>
      </c>
      <c r="B9" t="s">
        <v>110</v>
      </c>
      <c r="C9" t="s">
        <v>111</v>
      </c>
      <c r="D9" t="s">
        <v>112</v>
      </c>
      <c r="E9" t="s">
        <v>113</v>
      </c>
      <c r="F9" t="s">
        <v>114</v>
      </c>
      <c r="G9" t="s">
        <v>76</v>
      </c>
    </row>
    <row r="10" spans="1:7">
      <c r="B10" t="s">
        <v>76</v>
      </c>
      <c r="C10" t="s">
        <v>76</v>
      </c>
      <c r="D10" t="s">
        <v>76</v>
      </c>
      <c r="E10" t="s">
        <v>76</v>
      </c>
      <c r="F10" t="s">
        <v>76</v>
      </c>
      <c r="G10" t="s">
        <v>76</v>
      </c>
    </row>
    <row r="11" spans="1:7">
      <c r="B11" t="s">
        <v>76</v>
      </c>
      <c r="C11" t="s">
        <v>76</v>
      </c>
      <c r="D11" t="s">
        <v>76</v>
      </c>
      <c r="E11" t="s">
        <v>76</v>
      </c>
      <c r="F11" t="s">
        <v>76</v>
      </c>
      <c r="G11" t="s">
        <v>76</v>
      </c>
    </row>
    <row r="12" spans="1:7">
      <c r="B12" t="s">
        <v>115</v>
      </c>
      <c r="C12" t="s">
        <v>76</v>
      </c>
      <c r="D12" t="s">
        <v>76</v>
      </c>
      <c r="E12" t="s">
        <v>76</v>
      </c>
      <c r="F12" t="s">
        <v>76</v>
      </c>
      <c r="G12" t="s">
        <v>76</v>
      </c>
    </row>
    <row r="13" spans="1:7">
      <c r="B13" t="s">
        <v>77</v>
      </c>
      <c r="C13" t="s">
        <v>78</v>
      </c>
      <c r="D13" t="s">
        <v>187</v>
      </c>
      <c r="E13" t="s">
        <v>188</v>
      </c>
      <c r="F13" t="s">
        <v>76</v>
      </c>
      <c r="G13" t="s">
        <v>76</v>
      </c>
    </row>
    <row r="14" spans="1:7">
      <c r="A14" t="s">
        <v>83</v>
      </c>
      <c r="B14" t="s">
        <v>270</v>
      </c>
      <c r="C14" t="s">
        <v>105</v>
      </c>
      <c r="D14" t="s">
        <v>271</v>
      </c>
      <c r="E14" t="s">
        <v>128</v>
      </c>
      <c r="F14" t="s">
        <v>76</v>
      </c>
      <c r="G14" t="s">
        <v>76</v>
      </c>
    </row>
    <row r="15" spans="1:7">
      <c r="A15" t="s">
        <v>88</v>
      </c>
      <c r="B15" t="s">
        <v>272</v>
      </c>
      <c r="C15" t="s">
        <v>273</v>
      </c>
      <c r="D15" t="s">
        <v>274</v>
      </c>
      <c r="E15" t="s">
        <v>139</v>
      </c>
      <c r="F15" t="s">
        <v>76</v>
      </c>
      <c r="G15" t="s">
        <v>76</v>
      </c>
    </row>
    <row r="16" spans="1:7">
      <c r="A16" t="s">
        <v>94</v>
      </c>
      <c r="B16" t="s">
        <v>275</v>
      </c>
      <c r="C16" t="s">
        <v>105</v>
      </c>
      <c r="D16" t="s">
        <v>276</v>
      </c>
      <c r="E16" t="s">
        <v>277</v>
      </c>
      <c r="F16" t="s">
        <v>76</v>
      </c>
      <c r="G16" t="s">
        <v>76</v>
      </c>
    </row>
    <row r="17" spans="1:7">
      <c r="A17" t="s">
        <v>99</v>
      </c>
      <c r="B17" t="s">
        <v>96</v>
      </c>
      <c r="C17" t="s">
        <v>105</v>
      </c>
      <c r="D17" t="s">
        <v>107</v>
      </c>
      <c r="E17" t="s">
        <v>226</v>
      </c>
      <c r="F17" t="s">
        <v>76</v>
      </c>
      <c r="G17" t="s">
        <v>76</v>
      </c>
    </row>
    <row r="18" spans="1:7">
      <c r="A18" t="s">
        <v>104</v>
      </c>
      <c r="B18" t="s">
        <v>278</v>
      </c>
      <c r="C18" t="s">
        <v>105</v>
      </c>
      <c r="D18" t="s">
        <v>279</v>
      </c>
      <c r="E18" t="s">
        <v>280</v>
      </c>
      <c r="F18" t="s">
        <v>76</v>
      </c>
      <c r="G18" t="s">
        <v>76</v>
      </c>
    </row>
    <row r="19" spans="1:7">
      <c r="A19" t="s">
        <v>109</v>
      </c>
      <c r="B19" t="s">
        <v>173</v>
      </c>
      <c r="C19" t="s">
        <v>281</v>
      </c>
      <c r="D19" t="s">
        <v>225</v>
      </c>
      <c r="E19" t="s">
        <v>282</v>
      </c>
      <c r="F19" t="s">
        <v>76</v>
      </c>
      <c r="G19" t="s">
        <v>76</v>
      </c>
    </row>
    <row r="20" spans="1:7">
      <c r="B20" t="s">
        <v>76</v>
      </c>
      <c r="C20" t="s">
        <v>76</v>
      </c>
      <c r="D20" t="s">
        <v>76</v>
      </c>
      <c r="E20" t="s">
        <v>76</v>
      </c>
      <c r="F20" t="s">
        <v>76</v>
      </c>
      <c r="G20" t="s">
        <v>76</v>
      </c>
    </row>
    <row r="21" spans="1:7">
      <c r="B21" t="s">
        <v>116</v>
      </c>
      <c r="C21" t="s">
        <v>76</v>
      </c>
      <c r="D21" t="s">
        <v>76</v>
      </c>
      <c r="E21" t="s">
        <v>76</v>
      </c>
      <c r="F21" t="s">
        <v>76</v>
      </c>
      <c r="G21" t="s">
        <v>76</v>
      </c>
    </row>
    <row r="22" spans="1:7">
      <c r="B22" t="s">
        <v>77</v>
      </c>
      <c r="C22" t="s">
        <v>78</v>
      </c>
      <c r="D22" t="s">
        <v>208</v>
      </c>
      <c r="E22" t="s">
        <v>76</v>
      </c>
      <c r="F22" t="s">
        <v>76</v>
      </c>
      <c r="G22" t="s">
        <v>76</v>
      </c>
    </row>
    <row r="23" spans="1:7">
      <c r="A23" t="s">
        <v>83</v>
      </c>
      <c r="B23" t="s">
        <v>283</v>
      </c>
      <c r="C23" t="s">
        <v>284</v>
      </c>
      <c r="D23" t="s">
        <v>285</v>
      </c>
      <c r="E23" t="s">
        <v>76</v>
      </c>
      <c r="F23" t="s">
        <v>76</v>
      </c>
      <c r="G23" t="s">
        <v>76</v>
      </c>
    </row>
    <row r="24" spans="1:7">
      <c r="A24" t="s">
        <v>88</v>
      </c>
      <c r="B24" t="s">
        <v>286</v>
      </c>
      <c r="C24" t="s">
        <v>105</v>
      </c>
      <c r="D24" t="s">
        <v>76</v>
      </c>
      <c r="E24" t="s">
        <v>76</v>
      </c>
      <c r="F24" t="s">
        <v>76</v>
      </c>
      <c r="G24" t="s">
        <v>76</v>
      </c>
    </row>
    <row r="25" spans="1:7">
      <c r="A25" t="s">
        <v>94</v>
      </c>
      <c r="B25" t="s">
        <v>287</v>
      </c>
      <c r="C25" t="s">
        <v>105</v>
      </c>
      <c r="D25" t="s">
        <v>210</v>
      </c>
      <c r="E25" t="s">
        <v>76</v>
      </c>
      <c r="F25" t="s">
        <v>76</v>
      </c>
      <c r="G25" t="s">
        <v>76</v>
      </c>
    </row>
    <row r="26" spans="1:7">
      <c r="A26" t="s">
        <v>99</v>
      </c>
      <c r="B26" t="s">
        <v>288</v>
      </c>
      <c r="C26" t="s">
        <v>105</v>
      </c>
      <c r="D26" t="s">
        <v>272</v>
      </c>
      <c r="E26" t="s">
        <v>76</v>
      </c>
      <c r="F26" t="s">
        <v>76</v>
      </c>
      <c r="G26" t="s">
        <v>76</v>
      </c>
    </row>
    <row r="27" spans="1:7">
      <c r="A27" t="s">
        <v>104</v>
      </c>
      <c r="B27" t="s">
        <v>87</v>
      </c>
      <c r="C27" t="s">
        <v>105</v>
      </c>
      <c r="D27" t="s">
        <v>289</v>
      </c>
      <c r="E27" t="s">
        <v>76</v>
      </c>
      <c r="F27" t="s">
        <v>76</v>
      </c>
      <c r="G27" t="s">
        <v>76</v>
      </c>
    </row>
    <row r="28" spans="1:7">
      <c r="A28" t="s">
        <v>109</v>
      </c>
      <c r="B28" t="s">
        <v>290</v>
      </c>
      <c r="C28" t="s">
        <v>291</v>
      </c>
      <c r="D28" t="s">
        <v>292</v>
      </c>
      <c r="E28" t="s">
        <v>76</v>
      </c>
      <c r="F28" t="s">
        <v>76</v>
      </c>
      <c r="G28" t="s">
        <v>76</v>
      </c>
    </row>
    <row r="29" spans="1:7">
      <c r="B29" t="s">
        <v>76</v>
      </c>
      <c r="C29" t="s">
        <v>76</v>
      </c>
      <c r="D29" t="s">
        <v>76</v>
      </c>
      <c r="E29" t="s">
        <v>76</v>
      </c>
      <c r="F29" t="s">
        <v>76</v>
      </c>
      <c r="G29" t="s">
        <v>76</v>
      </c>
    </row>
    <row r="30" spans="1:7">
      <c r="B30" t="s">
        <v>76</v>
      </c>
      <c r="C30" t="s">
        <v>76</v>
      </c>
      <c r="D30" t="s">
        <v>76</v>
      </c>
      <c r="E30" t="s">
        <v>76</v>
      </c>
      <c r="F30" t="s">
        <v>76</v>
      </c>
      <c r="G30" t="s">
        <v>76</v>
      </c>
    </row>
    <row r="31" spans="1:7">
      <c r="B31" t="s">
        <v>117</v>
      </c>
      <c r="C31" t="s">
        <v>76</v>
      </c>
      <c r="D31" t="s">
        <v>76</v>
      </c>
      <c r="E31" t="s">
        <v>76</v>
      </c>
      <c r="F31" t="s">
        <v>76</v>
      </c>
      <c r="G31" t="s">
        <v>76</v>
      </c>
    </row>
    <row r="32" spans="1:7">
      <c r="B32" t="s">
        <v>77</v>
      </c>
      <c r="C32" t="s">
        <v>78</v>
      </c>
      <c r="D32" t="s">
        <v>218</v>
      </c>
      <c r="E32" t="s">
        <v>76</v>
      </c>
      <c r="F32" t="s">
        <v>76</v>
      </c>
      <c r="G32" t="s">
        <v>76</v>
      </c>
    </row>
    <row r="33" spans="1:7">
      <c r="A33" t="s">
        <v>83</v>
      </c>
      <c r="B33" t="s">
        <v>293</v>
      </c>
      <c r="C33" t="s">
        <v>247</v>
      </c>
      <c r="D33" t="s">
        <v>294</v>
      </c>
      <c r="E33" t="s">
        <v>76</v>
      </c>
      <c r="F33" t="s">
        <v>76</v>
      </c>
      <c r="G33" t="s">
        <v>76</v>
      </c>
    </row>
    <row r="34" spans="1:7">
      <c r="A34" t="s">
        <v>88</v>
      </c>
      <c r="B34" t="s">
        <v>295</v>
      </c>
      <c r="C34" t="s">
        <v>105</v>
      </c>
      <c r="D34" t="s">
        <v>296</v>
      </c>
      <c r="E34" t="s">
        <v>76</v>
      </c>
      <c r="F34" t="s">
        <v>76</v>
      </c>
      <c r="G34" t="s">
        <v>76</v>
      </c>
    </row>
    <row r="35" spans="1:7">
      <c r="A35" t="s">
        <v>94</v>
      </c>
      <c r="B35" t="s">
        <v>297</v>
      </c>
      <c r="C35" t="s">
        <v>298</v>
      </c>
      <c r="D35" t="s">
        <v>299</v>
      </c>
      <c r="E35" t="s">
        <v>76</v>
      </c>
      <c r="F35" t="s">
        <v>76</v>
      </c>
      <c r="G35" t="s">
        <v>76</v>
      </c>
    </row>
    <row r="36" spans="1:7">
      <c r="A36" t="s">
        <v>99</v>
      </c>
      <c r="B36" t="s">
        <v>300</v>
      </c>
      <c r="C36" t="s">
        <v>76</v>
      </c>
      <c r="D36" t="s">
        <v>301</v>
      </c>
      <c r="E36" t="s">
        <v>76</v>
      </c>
      <c r="F36" t="s">
        <v>76</v>
      </c>
      <c r="G36" t="s">
        <v>76</v>
      </c>
    </row>
    <row r="37" spans="1:7">
      <c r="A37" t="s">
        <v>104</v>
      </c>
      <c r="B37" t="s">
        <v>84</v>
      </c>
      <c r="C37" t="s">
        <v>91</v>
      </c>
      <c r="D37" t="s">
        <v>226</v>
      </c>
      <c r="E37" t="s">
        <v>76</v>
      </c>
      <c r="F37" t="s">
        <v>76</v>
      </c>
      <c r="G37" t="s">
        <v>76</v>
      </c>
    </row>
    <row r="38" spans="1:7">
      <c r="A38" t="s">
        <v>109</v>
      </c>
      <c r="B38" t="s">
        <v>302</v>
      </c>
      <c r="C38" t="s">
        <v>123</v>
      </c>
      <c r="D38" t="s">
        <v>232</v>
      </c>
      <c r="E38" t="s">
        <v>76</v>
      </c>
      <c r="F38" t="s">
        <v>76</v>
      </c>
      <c r="G38" t="s">
        <v>76</v>
      </c>
    </row>
    <row r="39" spans="1:7">
      <c r="B39" t="s">
        <v>76</v>
      </c>
      <c r="C39" t="s">
        <v>76</v>
      </c>
      <c r="D39" t="s">
        <v>76</v>
      </c>
      <c r="E39" t="s">
        <v>76</v>
      </c>
      <c r="F39" t="s">
        <v>76</v>
      </c>
      <c r="G39" t="s">
        <v>76</v>
      </c>
    </row>
    <row r="40" spans="1:7">
      <c r="B40" t="s">
        <v>76</v>
      </c>
      <c r="C40" t="s">
        <v>76</v>
      </c>
      <c r="D40" t="s">
        <v>76</v>
      </c>
      <c r="E40" t="s">
        <v>76</v>
      </c>
      <c r="F40" t="s">
        <v>76</v>
      </c>
      <c r="G40" t="s">
        <v>76</v>
      </c>
    </row>
    <row r="41" spans="1:7">
      <c r="B41" t="s">
        <v>76</v>
      </c>
      <c r="C41" t="s">
        <v>76</v>
      </c>
      <c r="D41" t="s">
        <v>76</v>
      </c>
      <c r="E41" t="s">
        <v>76</v>
      </c>
      <c r="F41" t="s">
        <v>76</v>
      </c>
      <c r="G41" t="s">
        <v>76</v>
      </c>
    </row>
    <row r="42" spans="1:7">
      <c r="B42" t="s">
        <v>144</v>
      </c>
      <c r="C42" t="s">
        <v>76</v>
      </c>
      <c r="D42" t="s">
        <v>76</v>
      </c>
      <c r="E42" t="s">
        <v>76</v>
      </c>
      <c r="F42" t="s">
        <v>76</v>
      </c>
      <c r="G42" t="s">
        <v>76</v>
      </c>
    </row>
    <row r="43" spans="1:7">
      <c r="B43" t="s">
        <v>145</v>
      </c>
      <c r="C43" t="s">
        <v>76</v>
      </c>
      <c r="D43" t="s">
        <v>76</v>
      </c>
      <c r="E43" t="s">
        <v>76</v>
      </c>
      <c r="F43" t="s">
        <v>76</v>
      </c>
      <c r="G43" t="s">
        <v>76</v>
      </c>
    </row>
    <row r="44" spans="1:7">
      <c r="A44" t="s">
        <v>83</v>
      </c>
      <c r="B44" t="s">
        <v>146</v>
      </c>
      <c r="C44" t="s">
        <v>76</v>
      </c>
      <c r="D44" t="s">
        <v>76</v>
      </c>
      <c r="E44" t="s">
        <v>76</v>
      </c>
      <c r="F44" t="s">
        <v>76</v>
      </c>
      <c r="G44" t="s">
        <v>76</v>
      </c>
    </row>
    <row r="45" spans="1:7">
      <c r="A45" t="s">
        <v>88</v>
      </c>
      <c r="B45" t="s">
        <v>147</v>
      </c>
      <c r="C45" t="s">
        <v>76</v>
      </c>
      <c r="D45" t="s">
        <v>76</v>
      </c>
      <c r="E45" t="s">
        <v>76</v>
      </c>
      <c r="F45" t="s">
        <v>76</v>
      </c>
      <c r="G45" t="s">
        <v>76</v>
      </c>
    </row>
    <row r="46" spans="1:7">
      <c r="A46" t="s">
        <v>94</v>
      </c>
      <c r="B46" t="s">
        <v>148</v>
      </c>
      <c r="C46" t="s">
        <v>76</v>
      </c>
      <c r="D46" t="s">
        <v>76</v>
      </c>
      <c r="E46" t="s">
        <v>76</v>
      </c>
      <c r="F46" t="s">
        <v>76</v>
      </c>
      <c r="G46" t="s">
        <v>76</v>
      </c>
    </row>
    <row r="47" spans="1:7">
      <c r="A47" t="s">
        <v>99</v>
      </c>
      <c r="B47" t="s">
        <v>149</v>
      </c>
      <c r="C47" t="s">
        <v>76</v>
      </c>
      <c r="D47" t="s">
        <v>76</v>
      </c>
      <c r="E47" t="s">
        <v>76</v>
      </c>
      <c r="F47" t="s">
        <v>76</v>
      </c>
      <c r="G47" t="s">
        <v>76</v>
      </c>
    </row>
    <row r="48" spans="1:7">
      <c r="A48" t="s">
        <v>104</v>
      </c>
      <c r="B48" t="s">
        <v>150</v>
      </c>
      <c r="C48" t="s">
        <v>76</v>
      </c>
      <c r="D48" t="s">
        <v>76</v>
      </c>
      <c r="E48" t="s">
        <v>76</v>
      </c>
      <c r="F48" t="s">
        <v>76</v>
      </c>
      <c r="G48" t="s">
        <v>76</v>
      </c>
    </row>
    <row r="49" spans="1:7">
      <c r="A49" t="s">
        <v>109</v>
      </c>
      <c r="B49" t="s">
        <v>151</v>
      </c>
      <c r="C49" t="s">
        <v>76</v>
      </c>
      <c r="D49" t="s">
        <v>76</v>
      </c>
      <c r="E49" t="s">
        <v>76</v>
      </c>
      <c r="F49" t="s">
        <v>76</v>
      </c>
      <c r="G49" t="s">
        <v>76</v>
      </c>
    </row>
    <row r="50" spans="1:7">
      <c r="B50" t="s">
        <v>76</v>
      </c>
      <c r="C50" t="s">
        <v>76</v>
      </c>
      <c r="D50" t="s">
        <v>76</v>
      </c>
      <c r="E50" t="s">
        <v>76</v>
      </c>
      <c r="F50" t="s">
        <v>76</v>
      </c>
      <c r="G50" t="s">
        <v>76</v>
      </c>
    </row>
    <row r="51" spans="1:7">
      <c r="B51" t="s">
        <v>76</v>
      </c>
      <c r="C51" t="s">
        <v>76</v>
      </c>
      <c r="D51" t="s">
        <v>76</v>
      </c>
      <c r="E51" t="s">
        <v>76</v>
      </c>
      <c r="F51" t="s">
        <v>76</v>
      </c>
      <c r="G51" t="s">
        <v>76</v>
      </c>
    </row>
    <row r="52" spans="1:7">
      <c r="B52" t="s">
        <v>152</v>
      </c>
      <c r="C52" t="s">
        <v>76</v>
      </c>
      <c r="D52" t="s">
        <v>76</v>
      </c>
      <c r="E52" t="s">
        <v>76</v>
      </c>
      <c r="F52" t="s">
        <v>76</v>
      </c>
      <c r="G52" t="s">
        <v>76</v>
      </c>
    </row>
    <row r="53" spans="1:7">
      <c r="B53" t="s">
        <v>145</v>
      </c>
      <c r="C53" t="s">
        <v>76</v>
      </c>
      <c r="D53" t="s">
        <v>76</v>
      </c>
      <c r="E53" t="s">
        <v>76</v>
      </c>
      <c r="F53" t="s">
        <v>76</v>
      </c>
      <c r="G53" t="s">
        <v>76</v>
      </c>
    </row>
    <row r="54" spans="1:7">
      <c r="A54" t="s">
        <v>83</v>
      </c>
      <c r="B54" t="s">
        <v>303</v>
      </c>
      <c r="C54" t="s">
        <v>76</v>
      </c>
      <c r="D54" t="s">
        <v>76</v>
      </c>
      <c r="E54" t="s">
        <v>76</v>
      </c>
      <c r="F54" t="s">
        <v>76</v>
      </c>
      <c r="G54" t="s">
        <v>76</v>
      </c>
    </row>
    <row r="55" spans="1:7">
      <c r="A55" t="s">
        <v>88</v>
      </c>
      <c r="B55" t="s">
        <v>304</v>
      </c>
      <c r="C55" t="s">
        <v>76</v>
      </c>
      <c r="D55" t="s">
        <v>76</v>
      </c>
      <c r="E55" t="s">
        <v>76</v>
      </c>
      <c r="F55" t="s">
        <v>76</v>
      </c>
      <c r="G55" t="s">
        <v>76</v>
      </c>
    </row>
    <row r="56" spans="1:7">
      <c r="A56" t="s">
        <v>94</v>
      </c>
      <c r="B56" t="s">
        <v>305</v>
      </c>
      <c r="C56" t="s">
        <v>76</v>
      </c>
      <c r="D56" t="s">
        <v>76</v>
      </c>
      <c r="E56" t="s">
        <v>76</v>
      </c>
      <c r="F56" t="s">
        <v>76</v>
      </c>
      <c r="G56" t="s">
        <v>76</v>
      </c>
    </row>
    <row r="57" spans="1:7">
      <c r="A57" t="s">
        <v>99</v>
      </c>
      <c r="B57" t="s">
        <v>306</v>
      </c>
      <c r="C57" t="s">
        <v>76</v>
      </c>
      <c r="D57" t="s">
        <v>76</v>
      </c>
      <c r="E57" t="s">
        <v>76</v>
      </c>
      <c r="F57" t="s">
        <v>76</v>
      </c>
      <c r="G57" t="s">
        <v>76</v>
      </c>
    </row>
    <row r="58" spans="1:7">
      <c r="A58" t="s">
        <v>104</v>
      </c>
      <c r="B58" t="s">
        <v>263</v>
      </c>
      <c r="C58" t="s">
        <v>76</v>
      </c>
      <c r="D58" t="s">
        <v>76</v>
      </c>
      <c r="E58" t="s">
        <v>76</v>
      </c>
      <c r="F58" t="s">
        <v>76</v>
      </c>
      <c r="G58" t="s">
        <v>76</v>
      </c>
    </row>
    <row r="59" spans="1:7">
      <c r="A59" t="s">
        <v>109</v>
      </c>
      <c r="B59" t="s">
        <v>245</v>
      </c>
      <c r="C59" t="s">
        <v>76</v>
      </c>
      <c r="D59" t="s">
        <v>76</v>
      </c>
      <c r="E59" t="s">
        <v>76</v>
      </c>
      <c r="F59" t="s">
        <v>76</v>
      </c>
      <c r="G59" t="s">
        <v>76</v>
      </c>
    </row>
  </sheetData>
  <sheetProtection algorithmName="SHA-512" hashValue="Y+7hZqhFWxt5A1l+pFzN3+mZGorzO/cdJ5tvUT0z5xDzRNvAJZkbi9SyHzl0cneeGcaF6G9SYzMUDjUyhClFlg==" saltValue="KFhx5oXhb4/9LmAMm1cLIg==" spinCount="100000" sheet="1" objects="1" scenarios="1"/>
  <pageMargins left="0.7" right="0.7" top="0.78740157499999996" bottom="0.78740157499999996" header="0.3" footer="0.3"/>
  <pageSetup paperSize="9" orientation="portrait" r:id="rId1"/>
  <headerFooter>
    <oddFooter>&amp;C&amp;1#&amp;"Arial"&amp;10&amp;K000000---Internal Use---</oddFooter>
  </headerFooter>
  <tableParts count="1">
    <tablePart r:id="rId2"/>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14"/>
  <dimension ref="A1:P49"/>
  <sheetViews>
    <sheetView tabSelected="1" workbookViewId="0">
      <selection activeCell="D13" sqref="D13"/>
    </sheetView>
  </sheetViews>
  <sheetFormatPr defaultColWidth="9.140625" defaultRowHeight="15"/>
  <cols>
    <col min="1" max="2" width="4.28515625" customWidth="1"/>
    <col min="3" max="3" width="50.5703125" customWidth="1"/>
    <col min="4" max="4" width="30.85546875" customWidth="1"/>
    <col min="5" max="5" width="29.28515625" customWidth="1"/>
    <col min="6" max="7" width="16.7109375" bestFit="1" customWidth="1"/>
    <col min="8" max="8" width="5.7109375" customWidth="1"/>
    <col min="9" max="9" width="28.140625" customWidth="1"/>
    <col min="12" max="12" width="9.140625" customWidth="1"/>
  </cols>
  <sheetData>
    <row r="1" spans="1:16" ht="15" customHeight="1" thickBot="1">
      <c r="A1" s="5" t="s">
        <v>307</v>
      </c>
    </row>
    <row r="2" spans="1:16">
      <c r="B2" s="6"/>
      <c r="C2" s="258" t="s">
        <v>308</v>
      </c>
      <c r="D2" s="7"/>
      <c r="E2" s="7"/>
      <c r="F2" s="7"/>
      <c r="G2" s="7"/>
      <c r="H2" s="7"/>
      <c r="I2" s="8"/>
    </row>
    <row r="3" spans="1:16">
      <c r="B3" s="9"/>
      <c r="C3" s="136" t="s">
        <v>309</v>
      </c>
      <c r="D3" s="573"/>
      <c r="E3" s="620" t="s">
        <v>310</v>
      </c>
      <c r="F3" s="10"/>
      <c r="G3" s="10"/>
      <c r="H3" s="10"/>
      <c r="I3" s="11"/>
    </row>
    <row r="4" spans="1:16" ht="29.25" customHeight="1">
      <c r="B4" s="9"/>
      <c r="C4" s="679" t="s">
        <v>311</v>
      </c>
      <c r="D4" s="574"/>
      <c r="E4" s="574" t="s">
        <v>312</v>
      </c>
      <c r="F4" s="137"/>
      <c r="G4" s="10"/>
      <c r="H4" s="10"/>
      <c r="I4" s="12"/>
    </row>
    <row r="5" spans="1:16" ht="15" customHeight="1">
      <c r="B5" s="9"/>
      <c r="C5" s="137" t="s">
        <v>313</v>
      </c>
      <c r="D5" s="137" t="s">
        <v>314</v>
      </c>
      <c r="E5" s="137" t="s">
        <v>315</v>
      </c>
      <c r="F5" s="137"/>
      <c r="G5" s="10"/>
      <c r="H5" s="10"/>
      <c r="I5" s="12"/>
    </row>
    <row r="6" spans="1:16" ht="16.5" customHeight="1">
      <c r="B6" s="9"/>
      <c r="C6" s="619"/>
      <c r="D6" s="619"/>
      <c r="E6" s="680"/>
      <c r="F6" s="748" t="s">
        <v>316</v>
      </c>
      <c r="G6" s="748"/>
      <c r="H6" s="590" t="str" cm="1">
        <f t="array" ref="H6">IFERROR(INDEX(ay_Worker_activity, MATCH(sys_keyworker, key_worker_activity, 0), 6),"")</f>
        <v/>
      </c>
      <c r="I6" s="589" t="s">
        <v>317</v>
      </c>
    </row>
    <row r="7" spans="1:16" ht="15" customHeight="1">
      <c r="B7" s="9"/>
      <c r="C7" s="136" t="s">
        <v>318</v>
      </c>
      <c r="D7" s="10"/>
      <c r="E7" s="688" t="str">
        <f>IF(OR(AND(LEFT(D8,3)="Ind",i_TSF="NA",i_TSF&lt;&gt;"",i_CropType&lt;&gt;"Bare arable land"),AND(i_TSF&lt;&gt;"NA",H6="")),"↑ Please choose matching activity ↑",IF(AND(i_TSF&lt;&gt;"NA",D8="Outdoor"),"↑ Please set TSF to 'NA'",""))</f>
        <v>↑ Please choose matching activity ↑</v>
      </c>
      <c r="F7" s="748" t="s">
        <v>319</v>
      </c>
      <c r="G7" s="748"/>
      <c r="H7" s="624" t="str" cm="1">
        <f t="array" ref="H7">IFERROR(INDEX(ay_Worker_activity, MATCH(sys_keyworker, key_worker_activity, 0), 8),"")</f>
        <v/>
      </c>
      <c r="I7" s="589" t="s">
        <v>320</v>
      </c>
    </row>
    <row r="8" spans="1:16">
      <c r="B8" s="9"/>
      <c r="C8" s="679" t="s">
        <v>321</v>
      </c>
      <c r="D8" s="621"/>
      <c r="E8" s="681" t="str">
        <f>IF(AND(i_TSF&lt;&gt;"NA",D8="Outdoor"),"← or choose an indoor scenario",IF(AND(i_TSF="NA",D8&lt;&gt;"Outdoor",i_CropType&lt;&gt;"Bare arable land"),"← or choose an outdoor scenario",""))</f>
        <v/>
      </c>
      <c r="F8" s="748" t="s">
        <v>322</v>
      </c>
      <c r="G8" s="748"/>
      <c r="H8" s="624" t="str">
        <f>IFERROR(INDEX(ay_Worker_activity, MATCH(sys_keyworker, key_worker_activity, 0), 9),"")</f>
        <v/>
      </c>
      <c r="I8" s="589" t="s">
        <v>320</v>
      </c>
    </row>
    <row r="9" spans="1:16" ht="15" customHeight="1">
      <c r="B9" s="9"/>
      <c r="C9" s="679" t="s">
        <v>323</v>
      </c>
      <c r="D9" s="578"/>
      <c r="E9" s="10" t="str">
        <f>IF(i_FormVal&lt;&gt;'Look up'!A4,"kg/ha","L/ha")</f>
        <v>kg/ha</v>
      </c>
      <c r="F9" s="748" t="s">
        <v>324</v>
      </c>
      <c r="G9" s="748"/>
      <c r="H9" s="624" t="str">
        <f>IFERROR(INDEX(ay_Worker_activity, MATCH(sys_keyworker, key_worker_activity, 0), 10),"")</f>
        <v/>
      </c>
      <c r="I9" s="589" t="s">
        <v>320</v>
      </c>
    </row>
    <row r="10" spans="1:16" ht="15" customHeight="1">
      <c r="B10" s="9"/>
      <c r="C10" s="679" t="s">
        <v>325</v>
      </c>
      <c r="D10" s="740"/>
      <c r="E10" s="10" t="s">
        <v>326</v>
      </c>
      <c r="F10" s="748" t="s">
        <v>327</v>
      </c>
      <c r="G10" s="748"/>
      <c r="H10" s="624" t="str">
        <f>IFERROR(INDEX(ay_Worker_activity, MATCH(sys_keyworker, key_worker_activity, 0), 11),"")</f>
        <v/>
      </c>
      <c r="I10" s="589" t="s">
        <v>320</v>
      </c>
    </row>
    <row r="11" spans="1:16" ht="15" customHeight="1">
      <c r="B11" s="9"/>
      <c r="C11" s="679" t="s">
        <v>328</v>
      </c>
      <c r="D11" s="740"/>
      <c r="E11" s="10" t="s">
        <v>326</v>
      </c>
      <c r="F11" s="748" t="s">
        <v>329</v>
      </c>
      <c r="G11" s="748"/>
      <c r="H11" s="590" t="str">
        <f>IFERROR(d_InhalTcManual,"")</f>
        <v/>
      </c>
      <c r="I11" s="589" t="s">
        <v>330</v>
      </c>
    </row>
    <row r="12" spans="1:16" ht="15" customHeight="1">
      <c r="B12" s="9"/>
      <c r="C12" s="679" t="s">
        <v>331</v>
      </c>
      <c r="D12" s="578"/>
      <c r="E12" s="10"/>
      <c r="F12" s="10"/>
      <c r="G12" s="10"/>
      <c r="H12" s="10"/>
      <c r="I12" s="15"/>
    </row>
    <row r="13" spans="1:16" ht="15" customHeight="1">
      <c r="B13" s="9"/>
      <c r="C13" s="679" t="s">
        <v>332</v>
      </c>
      <c r="D13" s="578"/>
      <c r="E13" s="625" t="s">
        <v>333</v>
      </c>
      <c r="F13" s="330">
        <v>0</v>
      </c>
      <c r="G13" s="701">
        <v>0</v>
      </c>
      <c r="H13" s="10"/>
      <c r="I13" s="15"/>
    </row>
    <row r="14" spans="1:16" ht="15" customHeight="1">
      <c r="B14" s="9"/>
      <c r="C14" s="679" t="s">
        <v>334</v>
      </c>
      <c r="D14" s="577"/>
      <c r="E14" s="10" t="str">
        <f>IFERROR(IF(i_FormVal="Granules, fine granules","",IF(Bystander!C18="NA","      ← No drift data for a buffer strip of "&amp;i_Buffer&amp;" m, please select a different buffer strip.","m")),"m")</f>
        <v>m</v>
      </c>
      <c r="F14" s="681"/>
      <c r="G14" s="588"/>
      <c r="H14" s="588"/>
      <c r="I14" s="331"/>
      <c r="J14" s="257"/>
      <c r="K14" s="257"/>
      <c r="L14" s="257"/>
      <c r="M14" s="257"/>
      <c r="P14" s="313"/>
    </row>
    <row r="15" spans="1:16" ht="15" customHeight="1">
      <c r="B15" s="9"/>
      <c r="C15" s="10" t="s">
        <v>335</v>
      </c>
      <c r="D15" s="578">
        <v>1</v>
      </c>
      <c r="E15" s="10"/>
      <c r="F15" s="741"/>
      <c r="G15" s="741"/>
      <c r="H15" s="741"/>
      <c r="I15" s="742"/>
      <c r="J15" s="257"/>
      <c r="K15" s="257"/>
      <c r="L15" s="257"/>
      <c r="M15" s="257"/>
    </row>
    <row r="16" spans="1:16" ht="15" customHeight="1">
      <c r="B16" s="9"/>
      <c r="C16" s="10" t="s">
        <v>336</v>
      </c>
      <c r="D16" s="621">
        <v>365</v>
      </c>
      <c r="E16" s="10" t="s">
        <v>337</v>
      </c>
      <c r="F16" s="743" t="str">
        <f>IF(AND(i_AppNo=1, i_AppInt&lt;&gt;365),"Interval must be 365 days for single applications","")</f>
        <v/>
      </c>
      <c r="G16" s="743"/>
      <c r="H16" s="743"/>
      <c r="I16" s="744"/>
      <c r="J16" s="257"/>
      <c r="K16" s="257"/>
      <c r="L16" s="257"/>
      <c r="M16" s="257"/>
    </row>
    <row r="17" spans="2:13" ht="15" customHeight="1">
      <c r="B17" s="9"/>
      <c r="C17" s="10" t="s">
        <v>338</v>
      </c>
      <c r="D17" s="578" t="s">
        <v>339</v>
      </c>
      <c r="E17" s="745" t="str">
        <f>IFERROR(IF(AND(listsurfacedep="OtherCrops",i_Season&lt;&gt;"not relevant"),"← Please set Season to 'not relevant'",IF(AND(listsurfacedep&lt;&gt;"OtherCrops",i_Season="not relevant"),"← Please choose Season","")),"")</f>
        <v/>
      </c>
      <c r="F17" s="746"/>
      <c r="G17" s="746"/>
      <c r="H17" s="746"/>
      <c r="I17" s="747"/>
      <c r="J17" s="257"/>
      <c r="K17" s="257"/>
      <c r="L17" s="257"/>
      <c r="M17" s="257"/>
    </row>
    <row r="18" spans="2:13" ht="15" customHeight="1" thickBot="1">
      <c r="B18" s="17"/>
      <c r="C18" s="18"/>
      <c r="D18" s="19"/>
      <c r="E18" s="19"/>
      <c r="F18" s="19"/>
      <c r="G18" s="19"/>
      <c r="H18" s="19"/>
      <c r="I18" s="20"/>
      <c r="J18" s="257"/>
      <c r="K18" s="257"/>
      <c r="L18" s="257"/>
      <c r="M18" s="257"/>
    </row>
    <row r="19" spans="2:13" ht="15" customHeight="1">
      <c r="B19" s="6"/>
      <c r="C19" s="261" t="s">
        <v>340</v>
      </c>
      <c r="D19" s="7"/>
      <c r="E19" s="7"/>
      <c r="F19" s="7"/>
      <c r="G19" s="7"/>
      <c r="H19" s="7"/>
      <c r="I19" s="8"/>
    </row>
    <row r="20" spans="2:13">
      <c r="B20" s="9"/>
      <c r="C20" s="136" t="s">
        <v>341</v>
      </c>
      <c r="D20" s="370"/>
      <c r="E20" s="370"/>
      <c r="F20" s="370"/>
      <c r="G20" s="370"/>
      <c r="H20" s="10"/>
      <c r="I20" s="11"/>
    </row>
    <row r="21" spans="2:13" ht="15" customHeight="1">
      <c r="B21" s="9"/>
      <c r="C21" s="679" t="s">
        <v>342</v>
      </c>
      <c r="D21" s="13"/>
      <c r="E21" s="13"/>
      <c r="F21" s="13"/>
      <c r="G21" s="13"/>
      <c r="H21" s="14" t="str">
        <f>IF(i_FormVal&lt;&gt;'Look up'!A4,"g a.s./kg","g a.s./L")</f>
        <v>g a.s./kg</v>
      </c>
      <c r="I21" s="15"/>
    </row>
    <row r="22" spans="2:13" ht="15" customHeight="1">
      <c r="B22" s="9"/>
      <c r="C22" s="679" t="s">
        <v>343</v>
      </c>
      <c r="D22" s="407" t="str">
        <f>IFERROR(IF(i_FormVal&lt;&gt;"Granules, fine granules",i_AppRatePPP*D21/i_MaxVol,"N/A"),"")</f>
        <v/>
      </c>
      <c r="E22" s="407" t="str">
        <f>IFERROR(IF(i_FormVal&lt;&gt;"Granules, fine granules",i_AppRatePPP*E21/i_MaxVol,"N/A"),"")</f>
        <v/>
      </c>
      <c r="F22" s="407" t="str">
        <f>IFERROR(IF(i_FormVal&lt;&gt;"Granules, fine granules",i_AppRatePPP*F21/i_MaxVol,"N/A"),"")</f>
        <v/>
      </c>
      <c r="G22" s="407" t="str">
        <f>IFERROR(IF(i_FormVal&lt;&gt;"Granules, fine granules",i_AppRatePPP*G21/i_MaxVol,"N/A"),"")</f>
        <v/>
      </c>
      <c r="H22" s="14" t="s">
        <v>344</v>
      </c>
      <c r="I22" s="12"/>
    </row>
    <row r="23" spans="2:13" ht="15" customHeight="1">
      <c r="B23" s="9"/>
      <c r="C23" s="679" t="s">
        <v>345</v>
      </c>
      <c r="D23" s="407" t="str">
        <f>IFERROR(IF(i_FormVal&lt;&gt;"Granules, fine granules",i_AppRatePPP*D21/i_MinVol,"N/A"),"")</f>
        <v/>
      </c>
      <c r="E23" s="407" t="str">
        <f>IFERROR(IF(i_FormVal&lt;&gt;"Granules, fine granules",i_AppRatePPP*E21/i_MinVol,"N/A"),"")</f>
        <v/>
      </c>
      <c r="F23" s="407" t="str">
        <f>IFERROR(IF(i_FormVal&lt;&gt;"Granules, fine granules",i_AppRatePPP*F21/i_MinVol,"N/A"),"")</f>
        <v/>
      </c>
      <c r="G23" s="407" t="str">
        <f>IFERROR(IF(i_FormVal&lt;&gt;"Granules, fine granules",i_AppRatePPP*G21/i_MinVol,"N/A"),"")</f>
        <v/>
      </c>
      <c r="H23" s="14" t="s">
        <v>344</v>
      </c>
      <c r="I23" s="12"/>
    </row>
    <row r="24" spans="2:13" ht="15" customHeight="1">
      <c r="B24" s="9"/>
      <c r="C24" s="679" t="s">
        <v>346</v>
      </c>
      <c r="D24" s="371">
        <f>i_AppRatePPP*D21/1000</f>
        <v>0</v>
      </c>
      <c r="E24" s="371">
        <f>i_AppRatePPP*E21/1000</f>
        <v>0</v>
      </c>
      <c r="F24" s="371">
        <f>i_AppRatePPP*F21/1000</f>
        <v>0</v>
      </c>
      <c r="G24" s="371">
        <f>i_AppRatePPP*G21/1000</f>
        <v>0</v>
      </c>
      <c r="H24" s="14" t="s">
        <v>347</v>
      </c>
      <c r="I24" s="15"/>
    </row>
    <row r="25" spans="2:13" ht="15" customHeight="1">
      <c r="B25" s="9"/>
      <c r="C25" s="10"/>
      <c r="D25" s="10"/>
      <c r="E25" s="10"/>
      <c r="F25" s="10"/>
      <c r="G25" s="10"/>
      <c r="H25" s="10"/>
      <c r="I25" s="12"/>
    </row>
    <row r="26" spans="2:13" ht="15" customHeight="1">
      <c r="B26" s="9"/>
      <c r="C26" s="137" t="s">
        <v>348</v>
      </c>
      <c r="D26" s="594"/>
      <c r="E26" s="594"/>
      <c r="F26" s="594"/>
      <c r="G26" s="594"/>
      <c r="H26" s="10" t="s">
        <v>349</v>
      </c>
      <c r="I26" s="12"/>
    </row>
    <row r="27" spans="2:13" ht="15" customHeight="1">
      <c r="B27" s="9"/>
      <c r="C27" s="137" t="s">
        <v>350</v>
      </c>
      <c r="D27" s="594"/>
      <c r="E27" s="594"/>
      <c r="F27" s="594"/>
      <c r="G27" s="594"/>
      <c r="H27" s="10" t="s">
        <v>349</v>
      </c>
      <c r="I27" s="12"/>
    </row>
    <row r="28" spans="2:13" ht="15" customHeight="1">
      <c r="B28" s="9"/>
      <c r="C28" s="137"/>
      <c r="D28" s="406"/>
      <c r="E28" s="406"/>
      <c r="F28" s="406"/>
      <c r="G28" s="406"/>
      <c r="H28" s="10"/>
      <c r="I28" s="12"/>
    </row>
    <row r="29" spans="2:13" ht="15" customHeight="1">
      <c r="B29" s="9"/>
      <c r="C29" s="679" t="s">
        <v>351</v>
      </c>
      <c r="D29" s="13">
        <v>30</v>
      </c>
      <c r="E29" s="13">
        <v>30</v>
      </c>
      <c r="F29" s="13">
        <v>30</v>
      </c>
      <c r="G29" s="13">
        <v>30</v>
      </c>
      <c r="H29" s="14" t="s">
        <v>337</v>
      </c>
      <c r="I29" s="15"/>
      <c r="K29" s="79"/>
    </row>
    <row r="30" spans="2:13" ht="15" customHeight="1">
      <c r="B30" s="9"/>
      <c r="C30" s="679" t="s">
        <v>352</v>
      </c>
      <c r="D30" s="13">
        <v>3</v>
      </c>
      <c r="E30" s="13">
        <v>3</v>
      </c>
      <c r="F30" s="13">
        <v>3</v>
      </c>
      <c r="G30" s="13">
        <v>3</v>
      </c>
      <c r="H30" s="14" t="s">
        <v>353</v>
      </c>
      <c r="I30" s="15"/>
    </row>
    <row r="31" spans="2:13" ht="15" customHeight="1">
      <c r="B31" s="9"/>
      <c r="C31" s="679" t="s">
        <v>354</v>
      </c>
      <c r="D31" s="16"/>
      <c r="E31" s="16"/>
      <c r="F31" s="16"/>
      <c r="G31" s="16"/>
      <c r="H31" s="10"/>
      <c r="I31" s="15"/>
    </row>
    <row r="32" spans="2:13" ht="15" customHeight="1">
      <c r="B32" s="9"/>
      <c r="C32" s="679" t="s">
        <v>355</v>
      </c>
      <c r="D32" s="592"/>
      <c r="E32" s="592"/>
      <c r="F32" s="592"/>
      <c r="G32" s="592"/>
      <c r="H32" s="10"/>
      <c r="I32" s="15"/>
    </row>
    <row r="33" spans="2:9" ht="15" customHeight="1">
      <c r="B33" s="9"/>
      <c r="C33" s="679" t="s">
        <v>356</v>
      </c>
      <c r="D33" s="16">
        <v>1</v>
      </c>
      <c r="E33" s="16">
        <v>1</v>
      </c>
      <c r="F33" s="16">
        <v>1</v>
      </c>
      <c r="G33" s="16">
        <v>1</v>
      </c>
      <c r="H33" s="10"/>
      <c r="I33" s="15"/>
    </row>
    <row r="34" spans="2:9" ht="15" customHeight="1">
      <c r="B34" s="9"/>
      <c r="C34" s="679" t="s">
        <v>357</v>
      </c>
      <c r="D34" s="16">
        <v>1</v>
      </c>
      <c r="E34" s="16">
        <v>1</v>
      </c>
      <c r="F34" s="16">
        <v>1</v>
      </c>
      <c r="G34" s="16">
        <v>1</v>
      </c>
      <c r="H34" s="10"/>
      <c r="I34" s="15"/>
    </row>
    <row r="35" spans="2:9">
      <c r="B35" s="9"/>
      <c r="C35" s="679" t="s">
        <v>358</v>
      </c>
      <c r="D35" s="434"/>
      <c r="E35" s="434"/>
      <c r="F35" s="434"/>
      <c r="G35" s="434"/>
      <c r="H35" s="10" t="s">
        <v>359</v>
      </c>
      <c r="I35" s="12"/>
    </row>
    <row r="36" spans="2:9">
      <c r="B36" s="9"/>
      <c r="C36" s="679" t="s">
        <v>360</v>
      </c>
      <c r="D36" s="13"/>
      <c r="E36" s="13"/>
      <c r="F36" s="13"/>
      <c r="G36" s="13"/>
      <c r="H36" s="10" t="s">
        <v>361</v>
      </c>
      <c r="I36" s="12"/>
    </row>
    <row r="37" spans="2:9" ht="18" customHeight="1" thickBot="1">
      <c r="B37" s="17"/>
      <c r="C37" s="262"/>
      <c r="D37" s="597" t="str">
        <f>IF(AND(D35&gt;=0.01,ISBLANK(D36)), "↑ Please enter MW ↑","")</f>
        <v/>
      </c>
      <c r="E37" s="597" t="str">
        <f t="shared" ref="E37:G37" si="0">IF(AND(E35&gt;=0.01,ISBLANK(E36)), "↑ Please enter MW ↑","")</f>
        <v/>
      </c>
      <c r="F37" s="597" t="str">
        <f t="shared" si="0"/>
        <v/>
      </c>
      <c r="G37" s="597" t="str">
        <f t="shared" si="0"/>
        <v/>
      </c>
      <c r="H37" s="18"/>
      <c r="I37" s="263"/>
    </row>
    <row r="38" spans="2:9" ht="15" customHeight="1"/>
    <row r="39" spans="2:9" ht="15" customHeight="1"/>
    <row r="40" spans="2:9" ht="38.25" hidden="1" customHeight="1"/>
    <row r="41" spans="2:9" ht="15" hidden="1" customHeight="1"/>
    <row r="42" spans="2:9" ht="15" hidden="1" customHeight="1"/>
    <row r="43" spans="2:9" ht="95.25" hidden="1" customHeight="1">
      <c r="D43" s="179" t="str">
        <f>IF(i_VP1&lt;0.005,'Look up'!$A23,'Look up'!$A24)</f>
        <v>low volatile substances having a vapour pressure of &lt; 0.005 Pa</v>
      </c>
      <c r="E43" s="179" t="str">
        <f>IF(i_VP2&lt;0.005,'Look up'!$A23,'Look up'!$A24)</f>
        <v>low volatile substances having a vapour pressure of &lt; 0.005 Pa</v>
      </c>
      <c r="F43" s="179" t="str">
        <f>IF(i_VP3&lt;0.005,'Look up'!$A23,'Look up'!$A24)</f>
        <v>low volatile substances having a vapour pressure of &lt; 0.005 Pa</v>
      </c>
      <c r="G43" s="179" t="str">
        <f>IF(i_VP4&lt;0.005,'Look up'!$A23,'Look up'!$A24)</f>
        <v>low volatile substances having a vapour pressure of &lt; 0.005 Pa</v>
      </c>
      <c r="H43" s="178"/>
      <c r="I43" s="178"/>
    </row>
    <row r="44" spans="2:9" ht="15" hidden="1" customHeight="1">
      <c r="D44" s="177"/>
    </row>
    <row r="45" spans="2:9" ht="15" hidden="1" customHeight="1"/>
    <row r="46" spans="2:9" hidden="1"/>
    <row r="47" spans="2:9" hidden="1"/>
    <row r="48" spans="2:9" hidden="1"/>
    <row r="49" hidden="1"/>
  </sheetData>
  <sheetProtection algorithmName="SHA-512" hashValue="MD9uLtwEpBQq6xXnsVZZIo3TBtHhCtTvJVYB2m2hVqUe+HOpa4jDlM5K9tPN98c3g3ISruul6wxRR+pqUSuCAw==" saltValue="nqMv3YflZjF2MhFa6XTY2w==" spinCount="100000" sheet="1" objects="1" scenarios="1" selectLockedCells="1"/>
  <mergeCells count="9">
    <mergeCell ref="F15:I15"/>
    <mergeCell ref="F16:I16"/>
    <mergeCell ref="E17:I17"/>
    <mergeCell ref="F11:G11"/>
    <mergeCell ref="F6:G6"/>
    <mergeCell ref="F7:G7"/>
    <mergeCell ref="F8:G8"/>
    <mergeCell ref="F9:G9"/>
    <mergeCell ref="F10:G10"/>
  </mergeCells>
  <phoneticPr fontId="42" type="noConversion"/>
  <conditionalFormatting sqref="D10:D11">
    <cfRule type="expression" dxfId="5842" priority="43" stopIfTrue="1">
      <formula>$D$4="Granules, fine granules"</formula>
    </cfRule>
  </conditionalFormatting>
  <conditionalFormatting sqref="D21:D35">
    <cfRule type="expression" dxfId="5841" priority="33">
      <formula>$D$20=""</formula>
    </cfRule>
  </conditionalFormatting>
  <conditionalFormatting sqref="E21:E36">
    <cfRule type="expression" dxfId="5840" priority="34">
      <formula>$E$20=""</formula>
    </cfRule>
  </conditionalFormatting>
  <conditionalFormatting sqref="F21:F36">
    <cfRule type="expression" dxfId="5839" priority="35">
      <formula>$F$20=""</formula>
    </cfRule>
  </conditionalFormatting>
  <conditionalFormatting sqref="G21:G36">
    <cfRule type="expression" dxfId="5838" priority="32">
      <formula>$G$20=""</formula>
    </cfRule>
  </conditionalFormatting>
  <conditionalFormatting sqref="D36">
    <cfRule type="expression" dxfId="5837" priority="11">
      <formula>AND(D35&gt;=0.01,ISBLANK(D36))</formula>
    </cfRule>
    <cfRule type="expression" dxfId="5836" priority="16">
      <formula>ISBLANK($D$20)</formula>
    </cfRule>
  </conditionalFormatting>
  <conditionalFormatting sqref="D39">
    <cfRule type="expression" dxfId="5835" priority="14">
      <formula>"d35&gt;0.1"</formula>
    </cfRule>
  </conditionalFormatting>
  <conditionalFormatting sqref="G36">
    <cfRule type="expression" dxfId="5834" priority="12">
      <formula>AND(G35&gt;=0.01,ISBLANK(G36))</formula>
    </cfRule>
  </conditionalFormatting>
  <conditionalFormatting sqref="E36">
    <cfRule type="expression" dxfId="5833" priority="10">
      <formula>AND(E35&gt;=0.01,ISBLANK(E36))</formula>
    </cfRule>
  </conditionalFormatting>
  <conditionalFormatting sqref="F36">
    <cfRule type="expression" dxfId="5832" priority="15">
      <formula>AND(F35&gt;=0.01,ISBLANK(F36))</formula>
    </cfRule>
  </conditionalFormatting>
  <conditionalFormatting sqref="E6">
    <cfRule type="expression" dxfId="5831" priority="8">
      <formula>OR(OR(AND(LEFT(D8,3)="Ind",i_TSF="NA",i_CropType&lt;&gt;"Bare arable land"),AND(i_TSF&lt;&gt;"NA",H6="",i_TSF&lt;&gt;"")),(AND(i_TSF&lt;&gt;"NA",D8="Outdoor",i_TSF&lt;&gt;"")))</formula>
    </cfRule>
  </conditionalFormatting>
  <conditionalFormatting sqref="D16">
    <cfRule type="expression" dxfId="5830" priority="7">
      <formula>F16&lt;&gt;""</formula>
    </cfRule>
  </conditionalFormatting>
  <conditionalFormatting sqref="D17">
    <cfRule type="expression" dxfId="5829" priority="4">
      <formula>OR(AND(listsurfacedep="OtherCrops",i_Season&lt;&gt;"not relevant"),AND(listsurfacedep&lt;&gt;"OtherCrops",i_Season="not relevant"))</formula>
    </cfRule>
  </conditionalFormatting>
  <conditionalFormatting sqref="D8">
    <cfRule type="expression" dxfId="5828" priority="3">
      <formula>OR(AND(i_TSF&lt;&gt;"NA",InOut="Outdoor"),AND(i_TSF="NA",D8&lt;&gt;"Outdoor",i_CropType&lt;&gt;"Bare arable land"))</formula>
    </cfRule>
  </conditionalFormatting>
  <dataValidations xWindow="520" yWindow="439" count="26">
    <dataValidation allowBlank="1" showInputMessage="1" showErrorMessage="1" sqref="E16" xr:uid="{00000000-0002-0000-0100-000000000000}">
      <formula1>0</formula1>
      <formula2>0</formula2>
    </dataValidation>
    <dataValidation type="list" allowBlank="1" showInputMessage="1" showErrorMessage="1" sqref="D17" xr:uid="{00000000-0002-0000-0100-000001000000}">
      <formula1>INDIRECT(listsurfacedep)</formula1>
    </dataValidation>
    <dataValidation type="list" allowBlank="1" showInputMessage="1" showErrorMessage="1" sqref="D12" xr:uid="{00000000-0002-0000-0100-000002000000}">
      <formula1>INDIRECT(listupdown)</formula1>
    </dataValidation>
    <dataValidation type="list" allowBlank="1" showInputMessage="1" showErrorMessage="1" sqref="C8 C6" xr:uid="{00000000-0002-0000-0100-000003000000}">
      <formula1>lk_CropType</formula1>
      <formula2>0</formula2>
    </dataValidation>
    <dataValidation type="list" allowBlank="1" showInputMessage="1" showErrorMessage="1" errorTitle="Invalid scenario" error="Please select a scenario matching the crop type" sqref="D8" xr:uid="{00000000-0002-0000-0100-000004000000}">
      <formula1>INDIRECT(listinout)</formula1>
    </dataValidation>
    <dataValidation type="list" allowBlank="1" showInputMessage="1" showErrorMessage="1" sqref="D13" xr:uid="{00000000-0002-0000-0100-000005000000}">
      <formula1>INDIRECT(listapplications)</formula1>
    </dataValidation>
    <dataValidation type="list" allowBlank="1" showInputMessage="1" showErrorMessage="1" sqref="D4" xr:uid="{C51BC64B-B87A-4DAD-940F-3545133D864F}">
      <formula1>lk_Formulation</formula1>
      <formula2>0</formula2>
    </dataValidation>
    <dataValidation type="list" allowBlank="1" showInputMessage="1" showErrorMessage="1" sqref="D14" xr:uid="{00000000-0002-0000-0100-000008000000}">
      <formula1>lk_Buffer</formula1>
      <formula2>0</formula2>
    </dataValidation>
    <dataValidation type="decimal" allowBlank="1" showInputMessage="1" showErrorMessage="1" sqref="E36:G36" xr:uid="{B4683561-73FB-463E-87F0-9C459F274C94}">
      <formula1>0</formula1>
      <formula2>100000</formula2>
    </dataValidation>
    <dataValidation type="list" allowBlank="1" showInputMessage="1" showErrorMessage="1" sqref="D8 D6" xr:uid="{BAA3C5F0-B6A7-4971-8DBB-B2E4E36CD2C1}">
      <formula1>INDIRECT(listworker)</formula1>
    </dataValidation>
    <dataValidation type="list" allowBlank="1" showInputMessage="1" showErrorMessage="1" sqref="D4" xr:uid="{FB501740-044A-4FF0-8BAF-7CD392EFF1F2}">
      <formula1>lk_Formulation</formula1>
    </dataValidation>
    <dataValidation type="list" allowBlank="1" showInputMessage="1" showErrorMessage="1" sqref="D8" xr:uid="{B4EE2729-58C8-4E48-BE06-45D94E4B1B4A}">
      <formula1>lk_IndoorOutdoor</formula1>
    </dataValidation>
    <dataValidation type="whole" allowBlank="1" showInputMessage="1" showErrorMessage="1" sqref="D15" xr:uid="{50E75DE7-CD1C-4F16-A70E-713476B388D6}">
      <formula1>1</formula1>
      <formula2>20</formula2>
    </dataValidation>
    <dataValidation type="whole" allowBlank="1" showInputMessage="1" showErrorMessage="1" sqref="D16" xr:uid="{5A5B09BB-545D-4C8B-ACCC-F74B9131C5FB}">
      <formula1>1</formula1>
      <formula2>365</formula2>
    </dataValidation>
    <dataValidation type="decimal" errorStyle="information" allowBlank="1" showInputMessage="1" showErrorMessage="1" errorTitle="Check value" error="Highest EFSA default value for diluted PPPs is 70%" prompt="Make sure that the dermal absorption value matches the a.s. concentration in the PPP" sqref="D32:G32" xr:uid="{BAF5CA72-3F53-4B69-9B39-8622AA5BC64D}">
      <formula1>0</formula1>
      <formula2>0.7</formula2>
    </dataValidation>
    <dataValidation type="decimal" operator="greaterThan" allowBlank="1" showErrorMessage="1" error="Please enter a number &gt; 0" prompt="Please enter a number &gt; 0" sqref="D21:G21" xr:uid="{BDECA901-CDD8-4929-AA16-4332ED2BDC0B}">
      <formula1>0</formula1>
    </dataValidation>
    <dataValidation allowBlank="1" showInputMessage="1" showErrorMessage="1" prompt="AS name must be entered in order for assessment to run" sqref="D20:G20" xr:uid="{CD5912C7-95BE-4CDC-8AC7-8888D60F27A1}"/>
    <dataValidation type="decimal" operator="greaterThanOrEqual" allowBlank="1" showInputMessage="1" showErrorMessage="1" error="Maximum volume smaller than minimum water volume!" sqref="D11" xr:uid="{623BF35C-574E-4B3A-8EB5-28C0D81DB278}">
      <formula1>D10</formula1>
    </dataValidation>
    <dataValidation type="decimal" operator="greaterThan" allowBlank="1" showInputMessage="1" showErrorMessage="1" sqref="D10" xr:uid="{A728BD1C-D283-4BB6-9B75-0F8BFB89CBB5}">
      <formula1>0</formula1>
    </dataValidation>
    <dataValidation type="custom" errorStyle="information" allowBlank="1" showInputMessage="1" showErrorMessage="1" errorTitle="Check value" error="Highest EFSA default value for PPPs with &gt;5% a.s. is 25%; for more dilute PPPs, the highest default is 70%." prompt="Make sure that the dermal absorption value matches the a.s. concentration in the PPP" sqref="D31:G31" xr:uid="{60472936-91AF-4577-986B-D3DF25923814}">
      <formula1>IF(D21&gt;50,D31&lt;=25%,D31&lt;=70%)</formula1>
    </dataValidation>
    <dataValidation type="decimal" operator="greaterThan" allowBlank="1" showErrorMessage="1" error="Please enter a number &gt;0" sqref="D26:G27" xr:uid="{52ED4AAE-2FCE-4588-B09A-686F14D2C9AC}">
      <formula1>0</formula1>
    </dataValidation>
    <dataValidation type="decimal" allowBlank="1" showInputMessage="1" showErrorMessage="1" error="Please enter a number between 0% and 100%" sqref="D33:G34" xr:uid="{83DFD8DC-AC8D-4805-A360-E8A447B6BB7A}">
      <formula1>0</formula1>
      <formula2>1</formula2>
    </dataValidation>
    <dataValidation type="decimal" errorStyle="information" operator="equal" allowBlank="1" showErrorMessage="1" errorTitle="Adjusted DFR" error="Check if no. of applications matches the adjusted DFR, e.g.:_x000a_- No. appl =1 and interval = 365 days if measured DFR matches GAP,_x000a_- No. appl = n and interval = X days if DFR0 after 1 application is used._x000a_" prompt="_x000a_" sqref="D30:G30" xr:uid="{F723A26F-0BB0-4A33-9357-E85B492ABCB6}">
      <formula1>3</formula1>
    </dataValidation>
    <dataValidation type="decimal" errorStyle="warning" allowBlank="1" showInputMessage="1" showErrorMessage="1" errorTitle="Enter MW" error="If VP &gt;=0.01 Pa, the MW must be entered" sqref="D36" xr:uid="{4E596B5E-597D-4F8A-9271-DF4C5F722341}">
      <formula1>0</formula1>
      <formula2>100000</formula2>
    </dataValidation>
    <dataValidation type="decimal" allowBlank="1" showErrorMessage="1" prompt="If VP &gt;= 0.01 Pa, a MW must be entered in the cell below" sqref="D35:G35" xr:uid="{DD1F2A58-B8EB-40CC-8B99-E145B36DE34C}">
      <formula1>0</formula1>
      <formula2>100000</formula2>
    </dataValidation>
    <dataValidation type="list" allowBlank="1" showInputMessage="1" showErrorMessage="1" sqref="E6" xr:uid="{F1A97AD6-59B3-4554-9847-9B7F7CCC3612}">
      <formula1>INDIRECT(list_TSF)</formula1>
    </dataValidation>
  </dataValidations>
  <pageMargins left="0.7" right="0.7" top="0.75" bottom="0.75" header="0.51180555555555496" footer="0.51180555555555496"/>
  <pageSetup paperSize="9" firstPageNumber="0" orientation="landscape" horizontalDpi="300" verticalDpi="300" r:id="rId1"/>
  <headerFooter>
    <oddFooter>&amp;C&amp;1#&amp;"Arial"&amp;10&amp;K000000---Internal Use---</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81602" r:id="rId4" name="Button 2">
              <controlPr defaultSize="0" print="0" autoFill="0" autoPict="0" macro="[0]!Tabelle14.Clear">
                <anchor moveWithCells="1" sizeWithCells="1">
                  <from>
                    <xdr:col>2</xdr:col>
                    <xdr:colOff>2105025</xdr:colOff>
                    <xdr:row>1</xdr:row>
                    <xdr:rowOff>47625</xdr:rowOff>
                  </from>
                  <to>
                    <xdr:col>2</xdr:col>
                    <xdr:colOff>3409950</xdr:colOff>
                    <xdr:row>3</xdr:row>
                    <xdr:rowOff>104775</xdr:rowOff>
                  </to>
                </anchor>
              </controlPr>
            </control>
          </mc:Choice>
        </mc:AlternateContent>
        <mc:AlternateContent xmlns:mc="http://schemas.openxmlformats.org/markup-compatibility/2006">
          <mc:Choice Requires="x14">
            <control shapeId="281607" r:id="rId5" name="Button 7">
              <controlPr defaultSize="0" print="0" autoFill="0" autoPict="0" macro="[0]!Tabelle14.AS_Clear">
                <anchor moveWithCells="1" sizeWithCells="1">
                  <from>
                    <xdr:col>2</xdr:col>
                    <xdr:colOff>2105025</xdr:colOff>
                    <xdr:row>18</xdr:row>
                    <xdr:rowOff>47625</xdr:rowOff>
                  </from>
                  <to>
                    <xdr:col>2</xdr:col>
                    <xdr:colOff>3305175</xdr:colOff>
                    <xdr:row>19</xdr:row>
                    <xdr:rowOff>190500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1" id="{2DFFC79A-E9DE-4819-BC82-C43C4B1A96B7}">
            <xm:f>AND(Bystander!C18="NA",i_FormVal&lt;&gt;"Granules, fine granules")</xm:f>
            <x14:dxf>
              <fill>
                <patternFill>
                  <bgColor rgb="FFFFFF00"/>
                </patternFill>
              </fill>
            </x14:dxf>
          </x14:cfRule>
          <xm:sqref>D14</xm:sqref>
        </x14:conditionalFormatting>
        <x14:conditionalFormatting xmlns:xm="http://schemas.microsoft.com/office/excel/2006/main">
          <x14:cfRule type="expression" priority="2" id="{5B46414E-EB4D-4867-96B9-D6EF24DAAF92}">
            <xm:f>Bystander!C18="NA"</xm:f>
            <x14:dxf>
              <font>
                <b/>
                <i val="0"/>
                <color rgb="FFFF0000"/>
              </font>
            </x14:dxf>
          </x14:cfRule>
          <xm:sqref>E14</xm:sqref>
        </x14:conditionalFormatting>
      </x14:conditionalFormattings>
    </ext>
    <ext xmlns:x14="http://schemas.microsoft.com/office/spreadsheetml/2009/9/main" uri="{CCE6A557-97BC-4b89-ADB6-D9C93CAAB3DF}">
      <x14:dataValidations xmlns:xm="http://schemas.microsoft.com/office/excel/2006/main" xWindow="520" yWindow="439" count="2">
        <x14:dataValidation type="list" allowBlank="1" showInputMessage="1" showErrorMessage="1" xr:uid="{47C9E76B-6A87-4BD3-91D1-318545DA5584}">
          <x14:formula1>
            <xm:f>'Look up'!$C$9:$C$10</xm:f>
          </x14:formula1>
          <xm:sqref>F13</xm:sqref>
        </x14:dataValidation>
        <x14:dataValidation type="list" allowBlank="1" showInputMessage="1" showErrorMessage="1" xr:uid="{41D4953B-936A-4058-B0F2-FCCAB90400AC}">
          <x14:formula1>
            <xm:f>'Look up'!$B$2:$B$3</xm:f>
          </x14:formula1>
          <xm:sqref>E4</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23"/>
  <dimension ref="A1:BW41"/>
  <sheetViews>
    <sheetView workbookViewId="0"/>
  </sheetViews>
  <sheetFormatPr defaultColWidth="9.140625" defaultRowHeight="15"/>
  <cols>
    <col min="1" max="1" width="29.140625" customWidth="1"/>
    <col min="2" max="2" width="18.28515625" bestFit="1" customWidth="1"/>
    <col min="3" max="3" width="17.7109375" customWidth="1"/>
    <col min="4" max="4" width="19.140625" customWidth="1"/>
    <col min="5" max="5" width="17.7109375" customWidth="1"/>
    <col min="6" max="6" width="18.7109375" customWidth="1"/>
    <col min="7" max="7" width="17.7109375" customWidth="1"/>
    <col min="8" max="8" width="18.28515625" customWidth="1"/>
    <col min="9" max="9" width="17.7109375" customWidth="1"/>
    <col min="10" max="10" width="18.28515625" hidden="1" customWidth="1"/>
    <col min="11" max="11" width="17.7109375" hidden="1" customWidth="1"/>
    <col min="12" max="12" width="18.28515625" hidden="1" customWidth="1"/>
    <col min="13" max="13" width="17.7109375" hidden="1" customWidth="1"/>
    <col min="14" max="14" width="18.28515625" style="109" hidden="1" customWidth="1"/>
    <col min="15" max="15" width="17.7109375" hidden="1" customWidth="1"/>
    <col min="16" max="16" width="18.28515625" hidden="1" customWidth="1"/>
    <col min="17" max="17" width="17.7109375" hidden="1" customWidth="1"/>
    <col min="18" max="18" width="14.42578125" customWidth="1"/>
    <col min="19" max="19" width="18.140625" customWidth="1"/>
    <col min="20" max="20" width="10.42578125" customWidth="1"/>
    <col min="21" max="21" width="13.140625" customWidth="1"/>
  </cols>
  <sheetData>
    <row r="1" spans="1:75" ht="15" customHeight="1" thickBot="1">
      <c r="A1" s="459" t="str">
        <f>"Product "&amp;i_ProductName</f>
        <v xml:space="preserve">Product </v>
      </c>
      <c r="B1" s="755" t="str">
        <f>"Formulation = "&amp;i_FormVal</f>
        <v xml:space="preserve">Formulation = </v>
      </c>
      <c r="C1" s="756"/>
      <c r="D1" s="756"/>
      <c r="E1" s="757"/>
      <c r="F1" s="362"/>
      <c r="G1" s="362"/>
      <c r="H1" s="362"/>
      <c r="I1" s="362"/>
      <c r="J1" s="362"/>
      <c r="K1" s="362"/>
      <c r="L1" s="362"/>
      <c r="M1" s="362"/>
      <c r="N1" s="460"/>
      <c r="O1" s="362"/>
      <c r="P1" s="362"/>
      <c r="Q1" s="362"/>
      <c r="R1" s="362"/>
      <c r="S1" s="362"/>
      <c r="T1" s="362"/>
      <c r="U1" s="362"/>
    </row>
    <row r="2" spans="1:75" ht="42.75" customHeight="1" thickBot="1">
      <c r="A2" s="461" t="s">
        <v>318</v>
      </c>
      <c r="B2" s="812" t="str">
        <f>i_CropType &amp; IF(i_Season&lt;&gt;"not relevant",", "&amp;i_Season,"") &amp; " / " &amp;'Data entry'!D8&amp;" / "&amp;i_AppMeth&amp;" / "&amp;i_AppEquip</f>
        <v xml:space="preserve"> /  /  / </v>
      </c>
      <c r="C2" s="813"/>
      <c r="D2" s="631" t="str">
        <f>"Buffer strip = "&amp;i_Buffer&amp;" m"&amp;
"         Drift reduction = "&amp;Driftreduction*100</f>
        <v>Buffer strip =  m         Drift reduction = 0</v>
      </c>
      <c r="E2" s="462" t="str">
        <f>"Number applications = "&amp;i_AppNo&amp;", Application interval = "&amp;i_AppInt&amp;" d"</f>
        <v>Number applications = 1, Application interval = 365 d</v>
      </c>
      <c r="F2" s="362"/>
      <c r="G2" s="362"/>
      <c r="H2" s="362"/>
      <c r="I2" s="362"/>
      <c r="J2" s="362"/>
      <c r="K2" s="362"/>
      <c r="L2" s="362"/>
      <c r="M2" s="362"/>
      <c r="N2" s="460"/>
      <c r="O2" s="362"/>
      <c r="P2" s="362"/>
      <c r="Q2" s="362"/>
      <c r="R2" s="362"/>
      <c r="S2" s="362"/>
      <c r="T2" s="362"/>
      <c r="U2" s="362"/>
    </row>
    <row r="3" spans="1:75" ht="24">
      <c r="A3" s="463" t="s">
        <v>362</v>
      </c>
      <c r="B3" s="464">
        <f>i_SubstName1</f>
        <v>0</v>
      </c>
      <c r="C3" s="465" t="str">
        <f>"Application rate = "&amp;i_AppRateAS1&amp;" kg a.s./ha"</f>
        <v>Application rate = 0 kg a.s./ha</v>
      </c>
      <c r="D3" s="465" t="e">
        <f>IF(i_FormVal="Granules, fine granules","N/A","Spray dilution = "&amp;FIXED(d_ConcAs1,3)&amp;" g a.s./L")</f>
        <v>#DIV/0!</v>
      </c>
      <c r="E3" s="466" t="str">
        <f>"Vapour pressure = "&amp;i_VP1&amp;" Pa"</f>
        <v>Vapour pressure =  Pa</v>
      </c>
      <c r="F3" s="467">
        <f>i_SubstName2</f>
        <v>0</v>
      </c>
      <c r="G3" s="465" t="str">
        <f>"Application rate = "&amp;i_AppRateAS2&amp;" kg a.s./ha"</f>
        <v>Application rate = 0 kg a.s./ha</v>
      </c>
      <c r="H3" s="465" t="e">
        <f>IF(i_FormVal="Granules, fine granules","N/A","Spray dilution = "&amp;FIXED(d_ConcAs2,3)&amp;" g a.s./L")</f>
        <v>#DIV/0!</v>
      </c>
      <c r="I3" s="466" t="str">
        <f>"Vapour pressure = "&amp;i_VP2&amp;" Pa"</f>
        <v>Vapour pressure =  Pa</v>
      </c>
      <c r="J3" s="464">
        <f>i_SubstName3</f>
        <v>0</v>
      </c>
      <c r="K3" s="465" t="str">
        <f>"Application rate = "&amp;i_AppRateAS3&amp;" kg a.s./ha"</f>
        <v>Application rate = 0 kg a.s./ha</v>
      </c>
      <c r="L3" s="465" t="e">
        <f>IF(i_FormVal="Granules, fine granules","N/A","Spray dilution = "&amp;FIXED(d_ConcAs3,3)&amp;" g a.s./L")</f>
        <v>#DIV/0!</v>
      </c>
      <c r="M3" s="466" t="str">
        <f>"Vapour pressure = "&amp;i_VP3&amp;" Pa"</f>
        <v>Vapour pressure =  Pa</v>
      </c>
      <c r="N3" s="464">
        <f>i_SubstName4</f>
        <v>0</v>
      </c>
      <c r="O3" s="465" t="str">
        <f>"Application rate = "&amp;i_AppRateAS4&amp;" kg a.s./ha"</f>
        <v>Application rate = 0 kg a.s./ha</v>
      </c>
      <c r="P3" s="465" t="e">
        <f>IF(i_FormVal="Granules, fine granules","N/A","Spray dilution = "&amp;FIXED(d_ConcAs4,3)&amp;" g a.s./L")</f>
        <v>#DIV/0!</v>
      </c>
      <c r="Q3" s="466" t="str">
        <f>"Vapour pressure = "&amp;i_VP4&amp;" Pa"</f>
        <v>Vapour pressure =  Pa</v>
      </c>
      <c r="R3" s="362"/>
      <c r="S3" s="362"/>
      <c r="T3" s="362"/>
      <c r="U3" s="362"/>
    </row>
    <row r="4" spans="1:75" ht="27.75" customHeight="1">
      <c r="A4" s="468" t="s">
        <v>363</v>
      </c>
      <c r="B4" s="469" t="str">
        <f>"Dermal for product = "&amp;i_AbsorpProduct1*100</f>
        <v>Dermal for product = 0</v>
      </c>
      <c r="C4" s="470" t="str">
        <f>"Dermal for in-use dilution = "&amp;i_AbsorpInuse1*100</f>
        <v>Dermal for in-use dilution = 0</v>
      </c>
      <c r="D4" s="470" t="str">
        <f>"Oral = "&amp;i_AbsorpOralInuse1*100</f>
        <v>Oral = 100</v>
      </c>
      <c r="E4" s="471" t="str">
        <f>"Inhalation = "&amp;i_AbsorpInhalation1*100</f>
        <v>Inhalation = 100</v>
      </c>
      <c r="F4" s="470" t="str">
        <f>"Dermal for product = "&amp;i_AbsorpProduct2*100</f>
        <v>Dermal for product = 0</v>
      </c>
      <c r="G4" s="470" t="str">
        <f>"Dermal for in-use dilution = "&amp;i_AbsorpInuse2*100</f>
        <v>Dermal for in-use dilution = 0</v>
      </c>
      <c r="H4" s="470" t="str">
        <f>"Oral = "&amp;i_AbsorpOralInuse2*100</f>
        <v>Oral = 100</v>
      </c>
      <c r="I4" s="471" t="str">
        <f>"Inhalation = "&amp;i_AbsorpInhalation2*100</f>
        <v>Inhalation = 100</v>
      </c>
      <c r="J4" s="469" t="str">
        <f>"Dermal for product = "&amp;i_AbsorpProduct3*100</f>
        <v>Dermal for product = 0</v>
      </c>
      <c r="K4" s="470" t="str">
        <f>"Dermal for in-use dilution = "&amp;i_AbsorpInuse3*100</f>
        <v>Dermal for in-use dilution = 0</v>
      </c>
      <c r="L4" s="470" t="str" cm="1">
        <f t="array" ref="L4">"Oral = "&amp;i_AbsorpOralInuse3*100</f>
        <v>Oral = 100</v>
      </c>
      <c r="M4" s="471" t="str">
        <f>"Inhalation = "&amp;i_AbsorpInhalation3*100</f>
        <v>Inhalation = 100</v>
      </c>
      <c r="N4" s="469" t="str">
        <f>"Dermal for product = "&amp;i_AbsorpProduct4*100</f>
        <v>Dermal for product = 0</v>
      </c>
      <c r="O4" s="470" t="str">
        <f>"Dermal for in-use dilution = "&amp;i_AbsorpInuse4*100</f>
        <v>Dermal for in-use dilution = 0</v>
      </c>
      <c r="P4" s="470" t="str">
        <f>"Oral = "&amp;i_AbsorpOralInuse4*100</f>
        <v>Oral = 100</v>
      </c>
      <c r="Q4" s="471" t="str">
        <f>"Inhalation = "&amp;i_AbsorpInhalation4*100</f>
        <v>Inhalation = 100</v>
      </c>
      <c r="R4" s="362"/>
      <c r="S4" s="362"/>
      <c r="T4" s="362"/>
      <c r="U4" s="362"/>
    </row>
    <row r="5" spans="1:75" ht="30" customHeight="1" thickBot="1">
      <c r="A5" s="472"/>
      <c r="B5" s="476" t="str">
        <f>"AOEL = "&amp;i_AOEL1&amp;" mg/kg bw/d"</f>
        <v>AOEL =  mg/kg bw/d</v>
      </c>
      <c r="C5" s="475" t="str">
        <f>"AAOEL = "&amp;i_AAOEL1&amp;IF(i_AAOEL1&gt;0," mg/kg bw/d","N/A")</f>
        <v>AAOEL = N/A</v>
      </c>
      <c r="D5" s="475" t="str">
        <f>IF(i_CropType&amp;i_activity="Amenity grasslandTurf harvesting, cutting and handling","TTR = "&amp;d_TTR1&amp;" µg a.s./cm²","DFR = "&amp;i_DFR1&amp;" μg a.s./cm²")&amp;" per kg a.s./ha"</f>
        <v>DFR = 3 μg a.s./cm² per kg a.s./ha</v>
      </c>
      <c r="E5" s="702" t="str">
        <f>IF(i_CropType&amp;i_activity="Amenity grasslandTurf harvesting, cutting and handling","Soil DT50 = "&amp;d_DT50soil1&amp;" d","Foliar DT50 = "&amp;d_HalflifeAS1&amp;" d")</f>
        <v>Foliar DT50 = 30 d</v>
      </c>
      <c r="F5" s="474" t="str">
        <f>"AOEL = "&amp;i_AOEL2&amp;" mg/kg bw/d"</f>
        <v>AOEL =  mg/kg bw/d</v>
      </c>
      <c r="G5" s="475" t="str">
        <f>"AAOEL = "&amp;i_AAOEL2&amp;IF(i_AAOEL2&gt;0," mg/kg bw/d","N/A")</f>
        <v>AAOEL = N/A</v>
      </c>
      <c r="H5" s="475" t="str">
        <f>IF(i_CropType&amp;i_activity="Amenity grasslandTurf harvesting, cutting and handling","TTR = "&amp;d_TTR2&amp;" µg a.s./cm²","DFR = "&amp;i_DFR2&amp;" μg a.s./cm²")&amp;" per kg a.s./ha"</f>
        <v>DFR = 3 μg a.s./cm² per kg a.s./ha</v>
      </c>
      <c r="I5" s="702" t="str">
        <f>IF(i_CropType&amp;i_activity="Amenity grasslandTurf harvesting, cutting and handling","Soil DT50 = "&amp;d_DT50soil2&amp;" d","Foliar DT50 = "&amp;d_HalflifeAS2&amp;" d")</f>
        <v>Foliar DT50 = 30 d</v>
      </c>
      <c r="J5" s="476" t="str">
        <f>"AOEL = "&amp;i_AOEL3&amp;" mg/kg bw/d"</f>
        <v>AOEL =  mg/kg bw/d</v>
      </c>
      <c r="K5" s="475" t="str">
        <f>"AAOEL = "&amp;i_AAOEL3&amp;IF(i_AAOEL3&gt;0," mg/kg bw/d","N/A")</f>
        <v>AAOEL = N/A</v>
      </c>
      <c r="L5" s="475" t="str">
        <f>IF(i_CropType&amp;i_activity="Amenity grasslandTurf harvesting, cutting and handling","TTR = "&amp;d_TTR3&amp;" µg a.s./cm²","DFR = "&amp;i_DFR3&amp;" μg a.s./cm²")&amp;" per kg a.s./ha"</f>
        <v>DFR = 3 μg a.s./cm² per kg a.s./ha</v>
      </c>
      <c r="M5" s="702" t="str">
        <f>IF(i_CropType&amp;i_activity="Amenity grasslandTurf harvesting, cutting and handling","Soil DT50 = "&amp;d_DT50soil3&amp;" d","Foliar DT50 = "&amp;d_HalflifeAS3&amp;" d")</f>
        <v>Foliar DT50 = 30 d</v>
      </c>
      <c r="N5" s="477" t="str">
        <f>"AOEL = "&amp;i_AOEL4&amp;" mg/kg bw/d"</f>
        <v>AOEL =  mg/kg bw/d</v>
      </c>
      <c r="O5" s="475" t="str">
        <f>"AAOEL = "&amp;i_AAOEL4&amp;IF(i_AAOEL4&gt;0," mg/kg bw/d","N/A")</f>
        <v>AAOEL = N/A</v>
      </c>
      <c r="P5" s="475" t="str">
        <f>IF(i_CropType&amp;i_activity="Amenity grasslandTurf harvesting, cutting and handling","TTR = "&amp;d_TTR4&amp;" µg a.s./cm²","DFR = "&amp;i_DFR4&amp;" μg a.s./cm²")&amp;" per kg a.s./ha"</f>
        <v>DFR = 3 μg a.s./cm² per kg a.s./ha</v>
      </c>
      <c r="Q5" s="702" t="str">
        <f>IF(i_CropType&amp;i_activity="Amenity grasslandTurf harvesting, cutting and handling","Soil DT50 = "&amp;d_DT50soil4&amp;" d","Foliar DT50 = "&amp;d_HalflifeAS4&amp;" d")</f>
        <v>Foliar DT50 = 30 d</v>
      </c>
      <c r="R5" s="362"/>
      <c r="S5" s="362"/>
      <c r="T5" s="362"/>
      <c r="U5" s="362"/>
    </row>
    <row r="6" spans="1:75" ht="15" customHeight="1">
      <c r="A6" s="478" t="s">
        <v>364</v>
      </c>
      <c r="B6" s="818" t="str">
        <f>IF(sys_OperatorModel=1,"Mixing/loading and application AOEM","Loading and application PHED")</f>
        <v>Mixing/loading and application AOEM</v>
      </c>
      <c r="C6" s="819"/>
      <c r="D6" s="819"/>
      <c r="E6" s="820"/>
      <c r="F6" s="479"/>
      <c r="G6" s="479"/>
      <c r="H6" s="479"/>
      <c r="I6" s="479"/>
      <c r="J6" s="479"/>
      <c r="K6" s="479"/>
      <c r="L6" s="479"/>
      <c r="M6" s="479"/>
      <c r="N6" s="479"/>
      <c r="O6" s="479"/>
      <c r="P6" s="479"/>
      <c r="Q6" s="479"/>
      <c r="R6" s="362"/>
      <c r="S6" s="362"/>
      <c r="T6" s="362"/>
      <c r="U6" s="362"/>
    </row>
    <row r="7" spans="1:75" ht="48">
      <c r="A7" s="480" t="s">
        <v>365</v>
      </c>
      <c r="B7" s="481" t="str">
        <f>"Gloves = "&amp;IF(sys_OperatorModel=1,'Operator Spray'!D25,IF(sys_OperatorModel=3,#REF!,IF(sys_OperatorModel=2,'Operator Granules'!C18,"")))</f>
        <v>Gloves = No</v>
      </c>
      <c r="C7" s="482" t="str">
        <f>"Clothing = "&amp;IF(sys_OperatorModel=1,'Operator Spray'!D26,IF(sys_OperatorModel=2,'Operator Granules'!C19,""))</f>
        <v>Clothing = Work wear - arms, body and legs covered</v>
      </c>
      <c r="D7" s="483" t="str">
        <f>"Head and respiratory PPE = "&amp;IF(sys_OperatorModel=1,IF(AND('Operator Spray'!MLHeadResPPE="None",'Operator Spray'!E27="None"),"None",IF('Operator Spray'!D27&lt;&gt;"None",'Operator Spray'!D27&amp;IF('Operator Spray'!E27&lt;&gt;"None"," + ",""),"")&amp;IF('Operator Spray'!E27&lt;&gt;"None",'Operator Spray'!E27,"")),IF(sys_OperatorModel=2,'Operator Granules'!C20,""))</f>
        <v>Head and respiratory PPE = None</v>
      </c>
      <c r="E7" s="484" t="str">
        <f>IF(sys_OperatorModel=2,"","Soluble bags = "&amp;'Operator Spray'!D28)</f>
        <v>Soluble bags = No</v>
      </c>
      <c r="F7" s="362"/>
      <c r="G7" s="362"/>
      <c r="H7" s="362"/>
      <c r="I7" s="362"/>
      <c r="J7" s="362"/>
      <c r="K7" s="362"/>
      <c r="L7" s="362"/>
      <c r="M7" s="460"/>
      <c r="N7" s="362"/>
      <c r="O7" s="362"/>
      <c r="P7" s="362"/>
      <c r="Q7" s="460"/>
      <c r="R7" s="362"/>
      <c r="S7" s="362"/>
      <c r="T7" s="362"/>
      <c r="U7" s="362"/>
    </row>
    <row r="8" spans="1:75" s="212" customFormat="1" ht="36" customHeight="1" thickBot="1">
      <c r="A8" s="473" t="s">
        <v>366</v>
      </c>
      <c r="B8" s="485" t="str">
        <f>"Gloves = "&amp;IF(sys_OperatorModel=1,'Operator Spray'!D39,IF(sys_OperatorModel=3,#REF!,IF(sys_OperatorModel=2,'Operator Granules'!C27,"")))</f>
        <v>Gloves = No</v>
      </c>
      <c r="C8" s="486" t="str">
        <f>"Clothing = "&amp;IF(sys_OperatorModel=1,'Operator Spray'!D40,IF(sys_OperatorModel=2,'Operator Granules'!C28,""))</f>
        <v>Clothing = Work wear - arms, body and legs covered</v>
      </c>
      <c r="D8" s="487" t="str">
        <f>"Head and respiratory PPE = "&amp;IF(sys_OperatorModel=1,IF(AND('Operator Spray'!D41="None",'Operator Spray'!E41="None"),"None",IF('Operator Spray'!D41&lt;&gt;"None",'Operator Spray'!D41&amp;IF('Operator Spray'!E41&lt;&gt;"None"," + ",""),"")&amp;IF('Operator Spray'!E41&lt;&gt;"None",'Operator Spray'!E41,"")),IF(sys_OperatorModel=2,'Operator Granules'!C29,""))</f>
        <v>Head and respiratory PPE = None</v>
      </c>
      <c r="E8" s="488" t="str">
        <f>"Closed cabin = "&amp;IF(sys_OperatorModel=1,'Operator Spray'!D42,"NA")</f>
        <v>Closed cabin = Not relevant</v>
      </c>
      <c r="F8" s="362"/>
      <c r="G8" s="362"/>
      <c r="H8" s="362"/>
      <c r="I8" s="362"/>
      <c r="J8" s="362"/>
      <c r="K8" s="362"/>
      <c r="L8" s="362"/>
      <c r="M8" s="460"/>
      <c r="N8" s="362"/>
      <c r="O8" s="362"/>
      <c r="P8" s="362"/>
      <c r="Q8" s="460"/>
      <c r="R8" s="489"/>
      <c r="S8" s="489"/>
      <c r="T8" s="489"/>
      <c r="U8" s="489"/>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row>
    <row r="9" spans="1:75" ht="15" customHeight="1">
      <c r="A9" s="490" t="s">
        <v>367</v>
      </c>
      <c r="B9" s="814">
        <f>i_SubstName1</f>
        <v>0</v>
      </c>
      <c r="C9" s="815"/>
      <c r="D9" s="634" t="s">
        <v>368</v>
      </c>
      <c r="E9" s="635" t="s">
        <v>369</v>
      </c>
      <c r="F9" s="814">
        <f>i_SubstName2</f>
        <v>0</v>
      </c>
      <c r="G9" s="815"/>
      <c r="H9" s="634" t="s">
        <v>368</v>
      </c>
      <c r="I9" s="635" t="s">
        <v>369</v>
      </c>
      <c r="J9" s="632">
        <f>i_SubstName3</f>
        <v>0</v>
      </c>
      <c r="K9" s="491"/>
      <c r="L9" s="634" t="s">
        <v>368</v>
      </c>
      <c r="M9" s="635" t="s">
        <v>369</v>
      </c>
      <c r="N9" s="632">
        <f>i_SubstName4</f>
        <v>0</v>
      </c>
      <c r="O9" s="491"/>
      <c r="P9" s="634" t="s">
        <v>368</v>
      </c>
      <c r="Q9" s="635" t="s">
        <v>369</v>
      </c>
      <c r="R9" s="492" t="s">
        <v>370</v>
      </c>
      <c r="S9" s="491"/>
      <c r="T9" s="823" t="s">
        <v>371</v>
      </c>
      <c r="U9" s="824"/>
    </row>
    <row r="10" spans="1:75" ht="15" customHeight="1">
      <c r="A10" s="809" t="s">
        <v>372</v>
      </c>
      <c r="B10" s="793" t="s">
        <v>373</v>
      </c>
      <c r="C10" s="794"/>
      <c r="D10" s="493" t="str">
        <f>IFERROR(IF(OR(sys_OperatorModel=1,sys_OperatorModel=3),'Operator Spray'!D48,IF(sys_OperatorModel=2,'Operator Granules'!C36,"")),"N/A")</f>
        <v>N/A</v>
      </c>
      <c r="E10" s="730">
        <f>IF(OR(sys_OperatorModel=1,sys_OperatorModel=3),'Operator Spray'!D49,IF(sys_OperatorModel=2,'Operator Granules'!C37,""))</f>
        <v>0</v>
      </c>
      <c r="F10" s="793" t="s">
        <v>373</v>
      </c>
      <c r="G10" s="794"/>
      <c r="H10" s="493" t="str">
        <f>IFERROR(IF(OR(sys_OperatorModel=1,sys_OperatorModel=3),'Operator Spray'!F48,IF(sys_OperatorModel=2,'Operator Granules'!E36,"")),"N/A")</f>
        <v>N/A</v>
      </c>
      <c r="I10" s="629">
        <f>IF(OR(sys_OperatorModel=1,sys_OperatorModel=3),'Operator Spray'!F49,IF(sys_OperatorModel=2,'Operator Granules'!E37,""))</f>
        <v>0</v>
      </c>
      <c r="J10" s="793" t="s">
        <v>373</v>
      </c>
      <c r="K10" s="794"/>
      <c r="L10" s="493" t="str">
        <f>IFERROR(IF(OR(sys_OperatorModel=1,sys_OperatorModel=3),'Operator Spray'!H48,IF(sys_OperatorModel=2,'Operator Granules'!G36,"")),"N/A")</f>
        <v>N/A</v>
      </c>
      <c r="M10" s="629">
        <f>IF(OR(sys_OperatorModel=1,sys_OperatorModel=3),'Operator Spray'!H49,IF(sys_OperatorModel=2,'Operator Granules'!G37,""))</f>
        <v>0</v>
      </c>
      <c r="N10" s="793" t="s">
        <v>373</v>
      </c>
      <c r="O10" s="794"/>
      <c r="P10" s="493" t="str">
        <f>IFERROR(IF(OR(sys_OperatorModel=1,sys_OperatorModel=3),'Operator Spray'!J48,IF(sys_OperatorModel=2,'Operator Granules'!I36,"")),"N/A")</f>
        <v>N/A</v>
      </c>
      <c r="Q10" s="629">
        <f>IF(OR(sys_OperatorModel=1,sys_OperatorModel=3),'Operator Spray'!J49,IF(sys_OperatorModel=2,'Operator Granules'!I37,""))</f>
        <v>0</v>
      </c>
      <c r="R10" s="793" t="s">
        <v>373</v>
      </c>
      <c r="S10" s="794"/>
      <c r="T10" s="797" t="str">
        <f>IF(sys_OperatorModel=1,'Operator Spray'!L49,'Operator Granules'!K37)</f>
        <v>N/A</v>
      </c>
      <c r="U10" s="798"/>
    </row>
    <row r="11" spans="1:75" ht="15" customHeight="1">
      <c r="A11" s="811"/>
      <c r="B11" s="795" t="s">
        <v>374</v>
      </c>
      <c r="C11" s="796"/>
      <c r="D11" s="494" t="str">
        <f>IFERROR(IF(OR(sys_OperatorModel=1,sys_OperatorModel=3),'Operator Spray'!D52,IF(sys_OperatorModel=2,'Operator Granules'!C40,"")),"N/A")</f>
        <v>N/A</v>
      </c>
      <c r="E11" s="731">
        <f>IF(OR(sys_OperatorModel=1,sys_OperatorModel=3),'Operator Spray'!D53,IF(sys_OperatorModel=2,'Operator Granules'!C41,""))</f>
        <v>0</v>
      </c>
      <c r="F11" s="795" t="s">
        <v>374</v>
      </c>
      <c r="G11" s="796"/>
      <c r="H11" s="494" t="str">
        <f>IFERROR(IF(OR(sys_OperatorModel=1,sys_OperatorModel=3),'Operator Spray'!F52,IF(sys_OperatorModel=2,'Operator Granules'!E40,"")),"N/A")</f>
        <v>N/A</v>
      </c>
      <c r="I11" s="640">
        <f>IF(OR(sys_OperatorModel=1,sys_OperatorModel=3),'Operator Spray'!F53,IF(sys_OperatorModel=2,'Operator Granules'!E41,""))</f>
        <v>0</v>
      </c>
      <c r="J11" s="795" t="s">
        <v>374</v>
      </c>
      <c r="K11" s="796"/>
      <c r="L11" s="494" t="str">
        <f>IFERROR(IF(OR(sys_OperatorModel=1,sys_OperatorModel=3),'Operator Spray'!H52,IF(sys_OperatorModel=2,'Operator Granules'!G40,"")),"N/A")</f>
        <v>N/A</v>
      </c>
      <c r="M11" s="640">
        <f>IF(OR(sys_OperatorModel=1,sys_OperatorModel=3),'Operator Spray'!H53,IF(sys_OperatorModel=2,'Operator Granules'!G41,""))</f>
        <v>0</v>
      </c>
      <c r="N11" s="795" t="s">
        <v>374</v>
      </c>
      <c r="O11" s="796"/>
      <c r="P11" s="494" t="str">
        <f>IFERROR(IF(OR(sys_OperatorModel=1,sys_OperatorModel=3),'Operator Spray'!J52,IF(sys_OperatorModel=2,'Operator Granules'!I40,"")),"N/A")</f>
        <v>N/A</v>
      </c>
      <c r="Q11" s="640">
        <f>IF(OR(sys_OperatorModel=1,sys_OperatorModel=3),'Operator Spray'!J53,IF(sys_OperatorModel=2,'Operator Granules'!I41,""))</f>
        <v>0</v>
      </c>
      <c r="R11" s="795" t="s">
        <v>374</v>
      </c>
      <c r="S11" s="796"/>
      <c r="T11" s="829" t="str">
        <f>IF(sys_OperatorModel=1,'Operator Spray'!L53,'Operator Granules'!K41)</f>
        <v>N/A</v>
      </c>
      <c r="U11" s="830"/>
    </row>
    <row r="12" spans="1:75" ht="15" customHeight="1">
      <c r="A12" s="809" t="s">
        <v>375</v>
      </c>
      <c r="B12" s="793" t="s">
        <v>373</v>
      </c>
      <c r="C12" s="794"/>
      <c r="D12" s="493" t="str">
        <f>IFERROR(IF(OR(sys_OperatorModel=1,sys_OperatorModel=3),'Operator Spray'!E48,IF(sys_OperatorModel=2,'Operator Granules'!D36,"")),"N/A")</f>
        <v>N/A</v>
      </c>
      <c r="E12" s="730">
        <f>IF(OR(sys_OperatorModel=1,sys_OperatorModel=3),'Operator Spray'!E49,IF(sys_OperatorModel=2,'Operator Granules'!D37,""))</f>
        <v>0</v>
      </c>
      <c r="F12" s="793" t="s">
        <v>373</v>
      </c>
      <c r="G12" s="794"/>
      <c r="H12" s="493" t="str">
        <f>IFERROR(IF(OR(sys_OperatorModel=1,sys_OperatorModel=3),'Operator Spray'!G48,IF(sys_OperatorModel=2,'Operator Granules'!F36,"")),"N/A")</f>
        <v>N/A</v>
      </c>
      <c r="I12" s="629">
        <f>IF(OR(sys_OperatorModel=1,sys_OperatorModel=3),'Operator Spray'!G49,IF(sys_OperatorModel=2,'Operator Granules'!F37,""))</f>
        <v>0</v>
      </c>
      <c r="J12" s="793" t="s">
        <v>373</v>
      </c>
      <c r="K12" s="794"/>
      <c r="L12" s="493" t="str">
        <f>IFERROR(IF(OR(sys_OperatorModel=1,sys_OperatorModel=3),'Operator Spray'!I48,IF(sys_OperatorModel=2,'Operator Granules'!H36,"")),"N/A")</f>
        <v>N/A</v>
      </c>
      <c r="M12" s="629">
        <f>IF(OR(sys_OperatorModel=1,sys_OperatorModel=3),'Operator Spray'!I49,IF(sys_OperatorModel=2,'Operator Granules'!H37,""))</f>
        <v>0</v>
      </c>
      <c r="N12" s="793" t="s">
        <v>373</v>
      </c>
      <c r="O12" s="794"/>
      <c r="P12" s="493" t="str">
        <f>IFERROR(IF(OR(sys_OperatorModel=1,sys_OperatorModel=3),'Operator Spray'!K48,IF(sys_OperatorModel=2,'Operator Granules'!J36,"")),"N/A")</f>
        <v>N/A</v>
      </c>
      <c r="Q12" s="629">
        <f>IF(OR(sys_OperatorModel=1,sys_OperatorModel=3),'Operator Spray'!K49,IF(sys_OperatorModel=2,'Operator Granules'!J37,""))</f>
        <v>0</v>
      </c>
      <c r="R12" s="793" t="s">
        <v>373</v>
      </c>
      <c r="S12" s="794"/>
      <c r="T12" s="797" t="str">
        <f>IF(sys_OperatorModel=1,'Operator Spray'!M49,'Operator Granules'!L37)</f>
        <v>N/A</v>
      </c>
      <c r="U12" s="798"/>
    </row>
    <row r="13" spans="1:75" ht="15" customHeight="1" thickBot="1">
      <c r="A13" s="810"/>
      <c r="B13" s="805" t="s">
        <v>374</v>
      </c>
      <c r="C13" s="806"/>
      <c r="D13" s="495" t="e">
        <f>IF(OR(sys_OperatorModel=1,sys_OperatorModel=3),'Operator Spray'!E52,IF(sys_OperatorModel=2,'Operator Granules'!D40,""))</f>
        <v>#N/A</v>
      </c>
      <c r="E13" s="732">
        <f>IF(OR(sys_OperatorModel=1,sys_OperatorModel=3),'Operator Spray'!E53,IF(sys_OperatorModel=2,'Operator Granules'!D41,""))</f>
        <v>0</v>
      </c>
      <c r="F13" s="805" t="s">
        <v>374</v>
      </c>
      <c r="G13" s="806"/>
      <c r="H13" s="495" t="str">
        <f>IFERROR(IF(OR(sys_OperatorModel=1,sys_OperatorModel=3),'Operator Spray'!G52,IF(sys_OperatorModel=2,'Operator Granules'!F40,"")),"N/A")</f>
        <v>N/A</v>
      </c>
      <c r="I13" s="630">
        <f>IF(OR(sys_OperatorModel=1,sys_OperatorModel=3),'Operator Spray'!G53,IF(sys_OperatorModel=2,'Operator Granules'!F41,""))</f>
        <v>0</v>
      </c>
      <c r="J13" s="805" t="s">
        <v>374</v>
      </c>
      <c r="K13" s="806"/>
      <c r="L13" s="495" t="str">
        <f>IFERROR(IF(OR(sys_OperatorModel=1,sys_OperatorModel=3),'Operator Spray'!I52,IF(sys_OperatorModel=2,'Operator Granules'!H40,"")),"N/A")</f>
        <v>N/A</v>
      </c>
      <c r="M13" s="630">
        <f>IF(OR(sys_OperatorModel=1,sys_OperatorModel=3),'Operator Spray'!I53,IF(sys_OperatorModel=2,'Operator Granules'!H41,""))</f>
        <v>0</v>
      </c>
      <c r="N13" s="805" t="s">
        <v>374</v>
      </c>
      <c r="O13" s="806"/>
      <c r="P13" s="495" t="str">
        <f>IFERROR(IF(OR(sys_OperatorModel=1,sys_OperatorModel=3),'Operator Spray'!K52,IF(sys_OperatorModel=2,'Operator Granules'!J40,"")),"N/A")</f>
        <v>N/A</v>
      </c>
      <c r="Q13" s="630">
        <f>IF(sys_OperatorModel=1,'Operator Spray'!K53,'Operator Granules'!J41)</f>
        <v>0</v>
      </c>
      <c r="R13" s="805" t="s">
        <v>374</v>
      </c>
      <c r="S13" s="806"/>
      <c r="T13" s="799" t="str">
        <f>IF(sys_OperatorModel=1,'Operator Spray'!M53,'Operator Granules'!L41)</f>
        <v>N/A</v>
      </c>
      <c r="U13" s="800"/>
    </row>
    <row r="14" spans="1:75" ht="15" customHeight="1">
      <c r="A14" s="762" t="str">
        <f>"Worker - " &amp; i_activity&amp;IF(i_TSF&lt;&gt;"NA"," &amp; "&amp;i_TSF,"")</f>
        <v xml:space="preserve">Worker -  &amp; </v>
      </c>
      <c r="B14" s="496">
        <f>i_SubstName1</f>
        <v>0</v>
      </c>
      <c r="C14" s="497" t="s">
        <v>368</v>
      </c>
      <c r="D14" s="498" t="s">
        <v>376</v>
      </c>
      <c r="E14" s="499" t="s">
        <v>377</v>
      </c>
      <c r="F14" s="496">
        <f>i_SubstName2</f>
        <v>0</v>
      </c>
      <c r="G14" s="497" t="s">
        <v>368</v>
      </c>
      <c r="H14" s="498" t="s">
        <v>376</v>
      </c>
      <c r="I14" s="499" t="s">
        <v>377</v>
      </c>
      <c r="J14" s="500">
        <f>i_SubstName3</f>
        <v>0</v>
      </c>
      <c r="K14" s="497" t="s">
        <v>368</v>
      </c>
      <c r="L14" s="498" t="s">
        <v>376</v>
      </c>
      <c r="M14" s="499" t="s">
        <v>377</v>
      </c>
      <c r="N14" s="500">
        <f>i_SubstName4</f>
        <v>0</v>
      </c>
      <c r="O14" s="497" t="s">
        <v>368</v>
      </c>
      <c r="P14" s="498" t="s">
        <v>376</v>
      </c>
      <c r="Q14" s="499" t="s">
        <v>377</v>
      </c>
      <c r="R14" s="501" t="s">
        <v>370</v>
      </c>
      <c r="S14" s="502"/>
      <c r="T14" s="498" t="s">
        <v>371</v>
      </c>
      <c r="U14" s="499" t="s">
        <v>377</v>
      </c>
    </row>
    <row r="15" spans="1:75" ht="15" customHeight="1">
      <c r="A15" s="762"/>
      <c r="B15" s="503" t="s">
        <v>372</v>
      </c>
      <c r="C15" s="504" t="str">
        <f>IFERROR(Worker!B$32,"N/A")</f>
        <v>N/A</v>
      </c>
      <c r="D15" s="505">
        <f>IFERROR(Worker!B$33,"N/A")</f>
        <v>0</v>
      </c>
      <c r="E15" s="506">
        <f>Worker!B50</f>
        <v>0</v>
      </c>
      <c r="F15" s="507" t="s">
        <v>372</v>
      </c>
      <c r="G15" s="504" t="str">
        <f>IFERROR(Worker!F$32,"N/A")</f>
        <v>N/A</v>
      </c>
      <c r="H15" s="505">
        <f>IFERROR(Worker!F$33,"N/A")</f>
        <v>0</v>
      </c>
      <c r="I15" s="506">
        <f>Worker!F50</f>
        <v>0</v>
      </c>
      <c r="J15" s="503" t="s">
        <v>372</v>
      </c>
      <c r="K15" s="504" t="str">
        <f>IFERROR(Worker!J$32,"N/A")</f>
        <v>N/A</v>
      </c>
      <c r="L15" s="505">
        <f>IFERROR(Worker!J$33,"N/A")</f>
        <v>0</v>
      </c>
      <c r="M15" s="506">
        <f>Worker!J50</f>
        <v>0</v>
      </c>
      <c r="N15" s="503" t="s">
        <v>372</v>
      </c>
      <c r="O15" s="504" t="str">
        <f>IFERROR(Worker!N$32,"N/A")</f>
        <v>N/A</v>
      </c>
      <c r="P15" s="505">
        <f>IFERROR(Worker!N$33,"N/A")</f>
        <v>0</v>
      </c>
      <c r="Q15" s="506">
        <f>Worker!N50</f>
        <v>0</v>
      </c>
      <c r="R15" s="801" t="s">
        <v>372</v>
      </c>
      <c r="S15" s="802"/>
      <c r="T15" s="505" t="str">
        <f>Worker!R$33</f>
        <v>N/A</v>
      </c>
      <c r="U15" s="506">
        <f>Worker!R50</f>
        <v>0</v>
      </c>
    </row>
    <row r="16" spans="1:75" ht="24">
      <c r="A16" s="762"/>
      <c r="B16" s="503" t="s">
        <v>378</v>
      </c>
      <c r="C16" s="504" t="str">
        <f>IFERROR(Worker!C$32,"N/A")</f>
        <v>N/A</v>
      </c>
      <c r="D16" s="505">
        <f>IFERROR(Worker!C$33,"N/A")</f>
        <v>0</v>
      </c>
      <c r="E16" s="506">
        <f>Worker!C50</f>
        <v>172</v>
      </c>
      <c r="F16" s="503" t="s">
        <v>378</v>
      </c>
      <c r="G16" s="504" t="str">
        <f>IFERROR(Worker!G$32,"N/A")</f>
        <v>N/A</v>
      </c>
      <c r="H16" s="505">
        <f>IFERROR(Worker!G$33,"N/A")</f>
        <v>0</v>
      </c>
      <c r="I16" s="506">
        <f>Worker!G50</f>
        <v>144</v>
      </c>
      <c r="J16" s="503" t="s">
        <v>378</v>
      </c>
      <c r="K16" s="504" t="str">
        <f>IFERROR(Worker!K$32,"N/A")</f>
        <v>N/A</v>
      </c>
      <c r="L16" s="505">
        <f>IFERROR(Worker!K$33,"N/A")</f>
        <v>0</v>
      </c>
      <c r="M16" s="506">
        <f>Worker!K50</f>
        <v>0</v>
      </c>
      <c r="N16" s="503" t="s">
        <v>378</v>
      </c>
      <c r="O16" s="504" t="str">
        <f>IFERROR(Worker!O$32,"N/A")</f>
        <v>N/A</v>
      </c>
      <c r="P16" s="505">
        <f>IFERROR(Worker!O$33,"N/A")</f>
        <v>0</v>
      </c>
      <c r="Q16" s="506">
        <f>Worker!O50</f>
        <v>0</v>
      </c>
      <c r="R16" s="801" t="s">
        <v>378</v>
      </c>
      <c r="S16" s="802"/>
      <c r="T16" s="505" t="str">
        <f>Worker!S$33</f>
        <v>N/A</v>
      </c>
      <c r="U16" s="506">
        <f>Worker!S50</f>
        <v>190</v>
      </c>
    </row>
    <row r="17" spans="1:22" ht="24.75" thickBot="1">
      <c r="A17" s="762"/>
      <c r="B17" s="503" t="s">
        <v>379</v>
      </c>
      <c r="C17" s="504" t="str">
        <f>IFERROR(Worker!D$32,"N/A")</f>
        <v>N/A</v>
      </c>
      <c r="D17" s="505">
        <f>IFERROR(Worker!D$33,"N/A")</f>
        <v>0</v>
      </c>
      <c r="E17" s="506">
        <f>Worker!D50</f>
        <v>0</v>
      </c>
      <c r="F17" s="507" t="s">
        <v>379</v>
      </c>
      <c r="G17" s="504" t="str">
        <f>IFERROR(Worker!H$32,"N/A")</f>
        <v>N/A</v>
      </c>
      <c r="H17" s="505">
        <f>IFERROR(Worker!H$33,"N/A")</f>
        <v>0</v>
      </c>
      <c r="I17" s="506">
        <f>Worker!H50</f>
        <v>0</v>
      </c>
      <c r="J17" s="503" t="s">
        <v>379</v>
      </c>
      <c r="K17" s="504" t="str">
        <f>IFERROR(Worker!L$32,"N/A")</f>
        <v>N/A</v>
      </c>
      <c r="L17" s="505">
        <f>IFERROR(Worker!L$33,"N/A")</f>
        <v>0</v>
      </c>
      <c r="M17" s="506">
        <f>Worker!L50</f>
        <v>0</v>
      </c>
      <c r="N17" s="503" t="s">
        <v>379</v>
      </c>
      <c r="O17" s="504" t="str">
        <f>IFERROR(Worker!P$32,"N/A")</f>
        <v>N/A</v>
      </c>
      <c r="P17" s="505">
        <f>IFERROR(Worker!P$33,"N/A")</f>
        <v>0</v>
      </c>
      <c r="Q17" s="506">
        <f>Worker!P50</f>
        <v>0</v>
      </c>
      <c r="R17" s="801" t="s">
        <v>379</v>
      </c>
      <c r="S17" s="802"/>
      <c r="T17" s="505" t="str">
        <f>Worker!T33</f>
        <v>N/A</v>
      </c>
      <c r="U17" s="506">
        <f>Worker!T50</f>
        <v>0</v>
      </c>
    </row>
    <row r="18" spans="1:22" ht="24.75" hidden="1" thickBot="1">
      <c r="A18" s="762"/>
      <c r="B18" s="508" t="s">
        <v>380</v>
      </c>
      <c r="C18" s="509" t="str">
        <f>IFERROR(FIXED(Worker!E$32,3),"N/A")</f>
        <v>N/A</v>
      </c>
      <c r="D18" s="510">
        <f>IFERROR(Worker!E$33,"N/A")</f>
        <v>0</v>
      </c>
      <c r="E18" s="511">
        <f>Worker!E50</f>
        <v>0</v>
      </c>
      <c r="F18" s="508" t="s">
        <v>380</v>
      </c>
      <c r="G18" s="509" t="str">
        <f>IFERROR(FIXED(Worker!I$32,3),"N/A")</f>
        <v>N/A</v>
      </c>
      <c r="H18" s="510">
        <f>IFERROR(Worker!I$33,"N/A")</f>
        <v>0</v>
      </c>
      <c r="I18" s="511">
        <f>Worker!I50</f>
        <v>0</v>
      </c>
      <c r="J18" s="508" t="s">
        <v>380</v>
      </c>
      <c r="K18" s="509" t="str">
        <f>IFERROR(FIXED(Worker!M$32,3),"N/A")</f>
        <v>N/A</v>
      </c>
      <c r="L18" s="510">
        <f>IFERROR(Worker!M$33,"N/A")</f>
        <v>0</v>
      </c>
      <c r="M18" s="511">
        <f>Worker!M50</f>
        <v>0</v>
      </c>
      <c r="N18" s="508" t="s">
        <v>380</v>
      </c>
      <c r="O18" s="509" t="str">
        <f>IFERROR(FIXED(Worker!Q$32,3),"N/A")</f>
        <v>N/A</v>
      </c>
      <c r="P18" s="510">
        <f>IFERROR(Worker!Q$33,"N/A")</f>
        <v>0</v>
      </c>
      <c r="Q18" s="511">
        <f>Worker!Q50</f>
        <v>0</v>
      </c>
      <c r="R18" s="807" t="s">
        <v>380</v>
      </c>
      <c r="S18" s="808"/>
      <c r="T18" s="510" t="str">
        <f>Worker!U33</f>
        <v>N/A</v>
      </c>
      <c r="U18" s="511">
        <f>Worker!U50</f>
        <v>0</v>
      </c>
      <c r="V18" s="40"/>
    </row>
    <row r="19" spans="1:22" ht="15" customHeight="1">
      <c r="A19" s="753" t="s">
        <v>381</v>
      </c>
      <c r="B19" s="816">
        <f>i_SubstName1</f>
        <v>0</v>
      </c>
      <c r="C19" s="817"/>
      <c r="D19" s="636" t="s">
        <v>368</v>
      </c>
      <c r="E19" s="637" t="s">
        <v>376</v>
      </c>
      <c r="F19" s="816">
        <f>i_SubstName2</f>
        <v>0</v>
      </c>
      <c r="G19" s="817"/>
      <c r="H19" s="636" t="s">
        <v>368</v>
      </c>
      <c r="I19" s="637" t="s">
        <v>376</v>
      </c>
      <c r="J19" s="816">
        <f>i_SubstName3</f>
        <v>0</v>
      </c>
      <c r="K19" s="817"/>
      <c r="L19" s="636" t="s">
        <v>368</v>
      </c>
      <c r="M19" s="637" t="s">
        <v>376</v>
      </c>
      <c r="N19" s="633">
        <f>i_SubstName4</f>
        <v>0</v>
      </c>
      <c r="O19" s="512"/>
      <c r="P19" s="636" t="s">
        <v>368</v>
      </c>
      <c r="Q19" s="637" t="s">
        <v>376</v>
      </c>
      <c r="R19" s="513" t="s">
        <v>370</v>
      </c>
      <c r="S19" s="514"/>
      <c r="T19" s="825" t="s">
        <v>371</v>
      </c>
      <c r="U19" s="826"/>
    </row>
    <row r="20" spans="1:22" ht="15" customHeight="1">
      <c r="A20" s="750"/>
      <c r="B20" s="765" t="s">
        <v>382</v>
      </c>
      <c r="C20" s="766"/>
      <c r="D20" s="515" t="str">
        <f>IFERROR(Resident!B$34,"N/A")</f>
        <v>N/A</v>
      </c>
      <c r="E20" s="734">
        <f>Resident!B$35</f>
        <v>0</v>
      </c>
      <c r="F20" s="765" t="s">
        <v>382</v>
      </c>
      <c r="G20" s="766"/>
      <c r="H20" s="515" t="str">
        <f>IFERROR(Resident!G$34,"N/A")</f>
        <v>N/A</v>
      </c>
      <c r="I20" s="516">
        <f>Resident!G$35</f>
        <v>0</v>
      </c>
      <c r="J20" s="765" t="s">
        <v>382</v>
      </c>
      <c r="K20" s="766"/>
      <c r="L20" s="515" t="str">
        <f>IFERROR(Resident!L$34,"N/A")</f>
        <v/>
      </c>
      <c r="M20" s="516">
        <f>Resident!L$35</f>
        <v>0</v>
      </c>
      <c r="N20" s="765" t="s">
        <v>382</v>
      </c>
      <c r="O20" s="766"/>
      <c r="P20" s="515" t="str">
        <f>IFERROR(Resident!Q$34,"N/A")</f>
        <v/>
      </c>
      <c r="Q20" s="516">
        <f>Resident!Q$35</f>
        <v>0</v>
      </c>
      <c r="R20" s="765" t="s">
        <v>382</v>
      </c>
      <c r="S20" s="766"/>
      <c r="T20" s="789" t="str">
        <f>Resident!V$35</f>
        <v>N/A</v>
      </c>
      <c r="U20" s="790"/>
    </row>
    <row r="21" spans="1:22" ht="15" customHeight="1">
      <c r="A21" s="750"/>
      <c r="B21" s="783" t="s">
        <v>383</v>
      </c>
      <c r="C21" s="784"/>
      <c r="D21" s="517">
        <f>IFERROR(Resident!C$34,"N/A")</f>
        <v>8.0000000000000004E-4</v>
      </c>
      <c r="E21" s="735">
        <f>Resident!C$35</f>
        <v>0</v>
      </c>
      <c r="F21" s="783" t="s">
        <v>383</v>
      </c>
      <c r="G21" s="784"/>
      <c r="H21" s="517">
        <f>IFERROR(Resident!H$34,"N/A")</f>
        <v>8.0000000000000004E-4</v>
      </c>
      <c r="I21" s="518">
        <f>Resident!H$35</f>
        <v>0</v>
      </c>
      <c r="J21" s="783" t="s">
        <v>383</v>
      </c>
      <c r="K21" s="784"/>
      <c r="L21" s="517">
        <f>IFERROR(Resident!M$34,"N/A")</f>
        <v>8.0000000000000004E-4</v>
      </c>
      <c r="M21" s="518">
        <f>Resident!M$35</f>
        <v>0</v>
      </c>
      <c r="N21" s="783" t="s">
        <v>383</v>
      </c>
      <c r="O21" s="784"/>
      <c r="P21" s="517" t="str">
        <f>IFERROR(Resident!Q$34,"N/A")</f>
        <v/>
      </c>
      <c r="Q21" s="518">
        <f>Resident!R$35</f>
        <v>0</v>
      </c>
      <c r="R21" s="783" t="s">
        <v>383</v>
      </c>
      <c r="S21" s="784"/>
      <c r="T21" s="791" t="str">
        <f>Resident!W$35</f>
        <v>N/A</v>
      </c>
      <c r="U21" s="792"/>
    </row>
    <row r="22" spans="1:22" ht="15" customHeight="1">
      <c r="A22" s="750"/>
      <c r="B22" s="783" t="s">
        <v>384</v>
      </c>
      <c r="C22" s="784"/>
      <c r="D22" s="517" t="str">
        <f>IFERROR(Resident!D$34,"N/A")</f>
        <v>N/A</v>
      </c>
      <c r="E22" s="735">
        <f>Resident!D$35</f>
        <v>0</v>
      </c>
      <c r="F22" s="783" t="s">
        <v>384</v>
      </c>
      <c r="G22" s="784"/>
      <c r="H22" s="517" t="str">
        <f>IFERROR(Resident!I$34,"N/A")</f>
        <v>N/A</v>
      </c>
      <c r="I22" s="518">
        <f>Resident!I$35</f>
        <v>0</v>
      </c>
      <c r="J22" s="783" t="s">
        <v>384</v>
      </c>
      <c r="K22" s="784"/>
      <c r="L22" s="517" t="str">
        <f>IFERROR(Resident!N$34,"N/A")</f>
        <v>N/A</v>
      </c>
      <c r="M22" s="518">
        <f>Resident!N$35</f>
        <v>0</v>
      </c>
      <c r="N22" s="783" t="s">
        <v>384</v>
      </c>
      <c r="O22" s="784"/>
      <c r="P22" s="517" t="str">
        <f>IFERROR(Resident!S$34,"N/A")</f>
        <v>N/A</v>
      </c>
      <c r="Q22" s="518">
        <f>Resident!S$35</f>
        <v>0</v>
      </c>
      <c r="R22" s="783" t="s">
        <v>384</v>
      </c>
      <c r="S22" s="784"/>
      <c r="T22" s="791" t="str">
        <f>Resident!X$35</f>
        <v>N/A</v>
      </c>
      <c r="U22" s="792"/>
    </row>
    <row r="23" spans="1:22" ht="15" customHeight="1">
      <c r="A23" s="750"/>
      <c r="B23" s="783" t="s">
        <v>385</v>
      </c>
      <c r="C23" s="784"/>
      <c r="D23" s="517">
        <f>IFERROR(Resident!E$34,"N/A")</f>
        <v>0</v>
      </c>
      <c r="E23" s="735">
        <f>Resident!E$35</f>
        <v>0</v>
      </c>
      <c r="F23" s="783" t="s">
        <v>385</v>
      </c>
      <c r="G23" s="784"/>
      <c r="H23" s="517">
        <f>IFERROR(Resident!J$34,"N/A")</f>
        <v>0</v>
      </c>
      <c r="I23" s="518">
        <f>Resident!J$35</f>
        <v>0</v>
      </c>
      <c r="J23" s="783" t="s">
        <v>385</v>
      </c>
      <c r="K23" s="784"/>
      <c r="L23" s="517">
        <f>IFERROR(Resident!O$34,"N/A")</f>
        <v>0</v>
      </c>
      <c r="M23" s="518">
        <f>Resident!O$35</f>
        <v>0</v>
      </c>
      <c r="N23" s="783" t="s">
        <v>385</v>
      </c>
      <c r="O23" s="784"/>
      <c r="P23" s="517">
        <f>IFERROR(Resident!T$34,"N/A")</f>
        <v>0</v>
      </c>
      <c r="Q23" s="518">
        <f>Resident!T$35</f>
        <v>0</v>
      </c>
      <c r="R23" s="783" t="s">
        <v>385</v>
      </c>
      <c r="S23" s="784"/>
      <c r="T23" s="791" t="str">
        <f>Resident!Y$35</f>
        <v>N/A</v>
      </c>
      <c r="U23" s="792"/>
    </row>
    <row r="24" spans="1:22" ht="15" customHeight="1">
      <c r="A24" s="754"/>
      <c r="B24" s="781" t="s">
        <v>386</v>
      </c>
      <c r="C24" s="782"/>
      <c r="D24" s="521" t="str">
        <f>IFERROR(Resident!F$34,"N/A")</f>
        <v>N/A</v>
      </c>
      <c r="E24" s="736">
        <f>Resident!F$35</f>
        <v>0</v>
      </c>
      <c r="F24" s="781" t="s">
        <v>386</v>
      </c>
      <c r="G24" s="782"/>
      <c r="H24" s="521" t="str">
        <f>IFERROR(Resident!K$34,"N/A")</f>
        <v>N/A</v>
      </c>
      <c r="I24" s="522">
        <f>Resident!K$35</f>
        <v>0</v>
      </c>
      <c r="J24" s="781" t="s">
        <v>386</v>
      </c>
      <c r="K24" s="782"/>
      <c r="L24" s="521" t="str">
        <f>IFERROR(Resident!P$34,"N/A")</f>
        <v>N/A</v>
      </c>
      <c r="M24" s="522">
        <f>Resident!P$35</f>
        <v>0</v>
      </c>
      <c r="N24" s="781" t="s">
        <v>386</v>
      </c>
      <c r="O24" s="782"/>
      <c r="P24" s="521" t="str">
        <f>IFERROR(Resident!U$34,"N/A")</f>
        <v>N/A</v>
      </c>
      <c r="Q24" s="522">
        <f>Resident!U$35</f>
        <v>0</v>
      </c>
      <c r="R24" s="781" t="s">
        <v>386</v>
      </c>
      <c r="S24" s="782"/>
      <c r="T24" s="803" t="str">
        <f>Resident!Z$35</f>
        <v>N/A</v>
      </c>
      <c r="U24" s="804"/>
    </row>
    <row r="25" spans="1:22" ht="15" customHeight="1">
      <c r="A25" s="750" t="s">
        <v>387</v>
      </c>
      <c r="B25" s="765" t="s">
        <v>382</v>
      </c>
      <c r="C25" s="766"/>
      <c r="D25" s="515">
        <f>IFERROR(Resident!B$38,"N/A")</f>
        <v>0</v>
      </c>
      <c r="E25" s="734">
        <f>Resident!B$39</f>
        <v>0</v>
      </c>
      <c r="F25" s="765" t="s">
        <v>382</v>
      </c>
      <c r="G25" s="766"/>
      <c r="H25" s="515">
        <f>IFERROR(Resident!G$38,"N/A")</f>
        <v>0</v>
      </c>
      <c r="I25" s="516">
        <f>Resident!G$39</f>
        <v>0</v>
      </c>
      <c r="J25" s="765" t="s">
        <v>382</v>
      </c>
      <c r="K25" s="766"/>
      <c r="L25" s="515">
        <f>IFERROR(Resident!L$38,"N/A")</f>
        <v>0</v>
      </c>
      <c r="M25" s="516">
        <f>Resident!L$39</f>
        <v>0</v>
      </c>
      <c r="N25" s="765" t="s">
        <v>382</v>
      </c>
      <c r="O25" s="766"/>
      <c r="P25" s="515">
        <f>IFERROR(Resident!Q$38,"N/A")</f>
        <v>0</v>
      </c>
      <c r="Q25" s="516">
        <f>Resident!Q$39</f>
        <v>0</v>
      </c>
      <c r="R25" s="765" t="s">
        <v>382</v>
      </c>
      <c r="S25" s="766"/>
      <c r="T25" s="789" t="str">
        <f>Resident!V$39</f>
        <v>N/A</v>
      </c>
      <c r="U25" s="790"/>
    </row>
    <row r="26" spans="1:22" ht="15" customHeight="1">
      <c r="A26" s="750"/>
      <c r="B26" s="783" t="s">
        <v>383</v>
      </c>
      <c r="C26" s="784"/>
      <c r="D26" s="517">
        <f>IFERROR(Resident!C$38,"N/A")</f>
        <v>2.7E-4</v>
      </c>
      <c r="E26" s="518">
        <f>Resident!C$39</f>
        <v>0</v>
      </c>
      <c r="F26" s="783" t="s">
        <v>383</v>
      </c>
      <c r="G26" s="784"/>
      <c r="H26" s="517">
        <f>IFERROR(Resident!H$38,"N/A")</f>
        <v>2.7E-4</v>
      </c>
      <c r="I26" s="518">
        <f>Resident!H$39</f>
        <v>0</v>
      </c>
      <c r="J26" s="783" t="s">
        <v>383</v>
      </c>
      <c r="K26" s="784"/>
      <c r="L26" s="517">
        <f>IFERROR(Resident!M$38,"N/A")</f>
        <v>2.7E-4</v>
      </c>
      <c r="M26" s="518">
        <f>Resident!M$39</f>
        <v>0</v>
      </c>
      <c r="N26" s="783" t="s">
        <v>383</v>
      </c>
      <c r="O26" s="784"/>
      <c r="P26" s="517">
        <f>IFERROR(Resident!R$38,"N/A")</f>
        <v>2.7E-4</v>
      </c>
      <c r="Q26" s="518">
        <f>Resident!R$39</f>
        <v>0</v>
      </c>
      <c r="R26" s="783" t="s">
        <v>383</v>
      </c>
      <c r="S26" s="784"/>
      <c r="T26" s="791" t="str">
        <f>Resident!W$39</f>
        <v>N/A</v>
      </c>
      <c r="U26" s="792"/>
    </row>
    <row r="27" spans="1:22" ht="15" customHeight="1">
      <c r="A27" s="750"/>
      <c r="B27" s="783" t="s">
        <v>384</v>
      </c>
      <c r="C27" s="784"/>
      <c r="D27" s="517" t="str">
        <f>IFERROR(Resident!D$38,"N/A")</f>
        <v/>
      </c>
      <c r="E27" s="733">
        <f>Resident!D$39</f>
        <v>0</v>
      </c>
      <c r="F27" s="783" t="s">
        <v>384</v>
      </c>
      <c r="G27" s="784"/>
      <c r="H27" s="517" t="str">
        <f>IFERROR(Resident!I$38,"N/A")</f>
        <v/>
      </c>
      <c r="I27" s="518">
        <f>Resident!I$39</f>
        <v>0</v>
      </c>
      <c r="J27" s="783" t="s">
        <v>384</v>
      </c>
      <c r="K27" s="784"/>
      <c r="L27" s="517" t="str">
        <f>IFERROR(Resident!N$38,"N/A")</f>
        <v/>
      </c>
      <c r="M27" s="518">
        <f>Resident!N$39</f>
        <v>0</v>
      </c>
      <c r="N27" s="783" t="s">
        <v>384</v>
      </c>
      <c r="O27" s="784"/>
      <c r="P27" s="517" t="str">
        <f>IFERROR(Resident!S$38,"N/A")</f>
        <v/>
      </c>
      <c r="Q27" s="518">
        <f>Resident!S$39</f>
        <v>0</v>
      </c>
      <c r="R27" s="783" t="s">
        <v>384</v>
      </c>
      <c r="S27" s="784"/>
      <c r="T27" s="791" t="str">
        <f>Resident!X$39</f>
        <v>N/A</v>
      </c>
      <c r="U27" s="792"/>
    </row>
    <row r="28" spans="1:22" ht="15" customHeight="1">
      <c r="A28" s="750"/>
      <c r="B28" s="783" t="s">
        <v>385</v>
      </c>
      <c r="C28" s="784"/>
      <c r="D28" s="517">
        <f>IFERROR(Resident!E$38,"N/A")</f>
        <v>0</v>
      </c>
      <c r="E28" s="735">
        <f>Resident!E$39</f>
        <v>0</v>
      </c>
      <c r="F28" s="783" t="s">
        <v>385</v>
      </c>
      <c r="G28" s="784"/>
      <c r="H28" s="517">
        <f>IFERROR(Resident!J$38,"N/A")</f>
        <v>0</v>
      </c>
      <c r="I28" s="518">
        <f>Resident!J$39</f>
        <v>0</v>
      </c>
      <c r="J28" s="783" t="s">
        <v>385</v>
      </c>
      <c r="K28" s="784"/>
      <c r="L28" s="517" t="str">
        <f>IFERROR(Resident!O$38,"N/A")</f>
        <v/>
      </c>
      <c r="M28" s="518">
        <f>Resident!O$39</f>
        <v>0</v>
      </c>
      <c r="N28" s="783" t="s">
        <v>385</v>
      </c>
      <c r="O28" s="784"/>
      <c r="P28" s="517" t="str">
        <f>IFERROR(Resident!T$38,"N/A")</f>
        <v/>
      </c>
      <c r="Q28" s="518">
        <f>Resident!T$39</f>
        <v>0</v>
      </c>
      <c r="R28" s="783" t="s">
        <v>385</v>
      </c>
      <c r="S28" s="784"/>
      <c r="T28" s="791" t="str">
        <f>Resident!Y$39</f>
        <v>N/A</v>
      </c>
      <c r="U28" s="792"/>
    </row>
    <row r="29" spans="1:22" ht="15" customHeight="1" thickBot="1">
      <c r="A29" s="750"/>
      <c r="B29" s="785" t="s">
        <v>386</v>
      </c>
      <c r="C29" s="786"/>
      <c r="D29" s="519" t="str">
        <f>IFERROR(Resident!F$38,"N/A")</f>
        <v>N/A</v>
      </c>
      <c r="E29" s="737">
        <f>Resident!F$39</f>
        <v>0</v>
      </c>
      <c r="F29" s="785" t="s">
        <v>386</v>
      </c>
      <c r="G29" s="786"/>
      <c r="H29" s="519" t="str">
        <f>IFERROR(Resident!K$38,"N/A")</f>
        <v>N/A</v>
      </c>
      <c r="I29" s="520">
        <f>Resident!K$39</f>
        <v>0</v>
      </c>
      <c r="J29" s="785" t="s">
        <v>386</v>
      </c>
      <c r="K29" s="786"/>
      <c r="L29" s="519" t="str">
        <f>IFERROR(Resident!P$38,"N/A")</f>
        <v>N/A</v>
      </c>
      <c r="M29" s="520">
        <f>Resident!P$39</f>
        <v>0</v>
      </c>
      <c r="N29" s="785" t="s">
        <v>386</v>
      </c>
      <c r="O29" s="786"/>
      <c r="P29" s="519" t="str">
        <f>IFERROR(Resident!U$38,"N/A")</f>
        <v>N/A</v>
      </c>
      <c r="Q29" s="520">
        <f>Resident!U$39</f>
        <v>0</v>
      </c>
      <c r="R29" s="785" t="s">
        <v>386</v>
      </c>
      <c r="S29" s="786"/>
      <c r="T29" s="787" t="str">
        <f>Resident!Z$39</f>
        <v>N/A</v>
      </c>
      <c r="U29" s="788"/>
    </row>
    <row r="30" spans="1:22" ht="15" customHeight="1">
      <c r="A30" s="763" t="s">
        <v>388</v>
      </c>
      <c r="B30" s="821">
        <f>i_SubstName1</f>
        <v>0</v>
      </c>
      <c r="C30" s="822"/>
      <c r="D30" s="638" t="s">
        <v>368</v>
      </c>
      <c r="E30" s="639" t="s">
        <v>389</v>
      </c>
      <c r="F30" s="821">
        <f>i_SubstName2</f>
        <v>0</v>
      </c>
      <c r="G30" s="822"/>
      <c r="H30" s="638" t="s">
        <v>368</v>
      </c>
      <c r="I30" s="639" t="s">
        <v>389</v>
      </c>
      <c r="J30" s="821">
        <f>i_SubstName3</f>
        <v>0</v>
      </c>
      <c r="K30" s="822"/>
      <c r="L30" s="638" t="s">
        <v>368</v>
      </c>
      <c r="M30" s="639" t="s">
        <v>389</v>
      </c>
      <c r="N30" s="821">
        <f>i_SubstName4</f>
        <v>0</v>
      </c>
      <c r="O30" s="822"/>
      <c r="P30" s="638" t="s">
        <v>368</v>
      </c>
      <c r="Q30" s="639" t="s">
        <v>389</v>
      </c>
      <c r="R30" s="523" t="s">
        <v>370</v>
      </c>
      <c r="S30" s="524"/>
      <c r="T30" s="827" t="s">
        <v>371</v>
      </c>
      <c r="U30" s="828"/>
    </row>
    <row r="31" spans="1:22" ht="15" customHeight="1">
      <c r="A31" s="751"/>
      <c r="B31" s="775" t="s">
        <v>390</v>
      </c>
      <c r="C31" s="776"/>
      <c r="D31" s="525">
        <f>Bystander!B$28</f>
        <v>0</v>
      </c>
      <c r="E31" s="628">
        <f>Bystander!B29</f>
        <v>0</v>
      </c>
      <c r="F31" s="775" t="s">
        <v>390</v>
      </c>
      <c r="G31" s="776"/>
      <c r="H31" s="525">
        <f>Bystander!F$28</f>
        <v>0</v>
      </c>
      <c r="I31" s="628">
        <f>Bystander!F29</f>
        <v>0</v>
      </c>
      <c r="J31" s="775" t="s">
        <v>390</v>
      </c>
      <c r="K31" s="776"/>
      <c r="L31" s="525">
        <f>Bystander!J$28</f>
        <v>0</v>
      </c>
      <c r="M31" s="628">
        <f>Bystander!J29</f>
        <v>0</v>
      </c>
      <c r="N31" s="775" t="s">
        <v>390</v>
      </c>
      <c r="O31" s="776"/>
      <c r="P31" s="525">
        <f>Bystander!N$28</f>
        <v>0</v>
      </c>
      <c r="Q31" s="628">
        <f>Bystander!N29</f>
        <v>0</v>
      </c>
      <c r="R31" s="775" t="s">
        <v>390</v>
      </c>
      <c r="S31" s="776"/>
      <c r="T31" s="777" t="str">
        <f>Bystander!R$29</f>
        <v>N/A</v>
      </c>
      <c r="U31" s="778"/>
    </row>
    <row r="32" spans="1:22" ht="15" customHeight="1">
      <c r="A32" s="751"/>
      <c r="B32" s="767" t="s">
        <v>391</v>
      </c>
      <c r="C32" s="768"/>
      <c r="D32" s="526">
        <f>Bystander!C$28</f>
        <v>8.0000000000000004E-4</v>
      </c>
      <c r="E32" s="626">
        <f>Bystander!C29</f>
        <v>0</v>
      </c>
      <c r="F32" s="767" t="s">
        <v>391</v>
      </c>
      <c r="G32" s="768"/>
      <c r="H32" s="526">
        <f>Bystander!G$28</f>
        <v>8.0000000000000004E-4</v>
      </c>
      <c r="I32" s="626">
        <f>Bystander!G29</f>
        <v>0</v>
      </c>
      <c r="J32" s="767" t="s">
        <v>391</v>
      </c>
      <c r="K32" s="768"/>
      <c r="L32" s="526">
        <f>Bystander!K$28</f>
        <v>8.0000000000000004E-4</v>
      </c>
      <c r="M32" s="626">
        <f>Bystander!K29</f>
        <v>0</v>
      </c>
      <c r="N32" s="767" t="s">
        <v>391</v>
      </c>
      <c r="O32" s="768"/>
      <c r="P32" s="526">
        <f>Bystander!O$28</f>
        <v>8.0000000000000004E-4</v>
      </c>
      <c r="Q32" s="626">
        <f>Bystander!O29</f>
        <v>0</v>
      </c>
      <c r="R32" s="767" t="s">
        <v>391</v>
      </c>
      <c r="S32" s="768"/>
      <c r="T32" s="758" t="str">
        <f>Bystander!S$29</f>
        <v>N/A</v>
      </c>
      <c r="U32" s="759"/>
    </row>
    <row r="33" spans="1:21" ht="15" customHeight="1">
      <c r="A33" s="751"/>
      <c r="B33" s="767" t="s">
        <v>392</v>
      </c>
      <c r="C33" s="768"/>
      <c r="D33" s="526" t="e">
        <f>Bystander!D$28</f>
        <v>#VALUE!</v>
      </c>
      <c r="E33" s="626">
        <f>Bystander!D29</f>
        <v>0</v>
      </c>
      <c r="F33" s="767" t="s">
        <v>392</v>
      </c>
      <c r="G33" s="768"/>
      <c r="H33" s="526" t="e">
        <f>Bystander!H$28</f>
        <v>#VALUE!</v>
      </c>
      <c r="I33" s="626">
        <f>Bystander!H29</f>
        <v>0</v>
      </c>
      <c r="J33" s="767" t="s">
        <v>392</v>
      </c>
      <c r="K33" s="768"/>
      <c r="L33" s="526" t="e">
        <f>Bystander!L$28</f>
        <v>#VALUE!</v>
      </c>
      <c r="M33" s="626">
        <f>Bystander!L29</f>
        <v>0</v>
      </c>
      <c r="N33" s="767" t="s">
        <v>392</v>
      </c>
      <c r="O33" s="768"/>
      <c r="P33" s="526" t="e">
        <f>Bystander!P$28</f>
        <v>#VALUE!</v>
      </c>
      <c r="Q33" s="626">
        <f>Bystander!P29</f>
        <v>0</v>
      </c>
      <c r="R33" s="767" t="s">
        <v>392</v>
      </c>
      <c r="S33" s="768"/>
      <c r="T33" s="758" t="str">
        <f>Bystander!T$29</f>
        <v>N/A</v>
      </c>
      <c r="U33" s="759"/>
    </row>
    <row r="34" spans="1:21" ht="15" customHeight="1">
      <c r="A34" s="764"/>
      <c r="B34" s="769" t="s">
        <v>393</v>
      </c>
      <c r="C34" s="770"/>
      <c r="D34" s="527">
        <f>Bystander!E$28</f>
        <v>0</v>
      </c>
      <c r="E34" s="627">
        <f>Bystander!E29</f>
        <v>0</v>
      </c>
      <c r="F34" s="769" t="s">
        <v>393</v>
      </c>
      <c r="G34" s="770"/>
      <c r="H34" s="527">
        <f>Bystander!I$28</f>
        <v>0</v>
      </c>
      <c r="I34" s="627">
        <f>Bystander!I29</f>
        <v>0</v>
      </c>
      <c r="J34" s="769" t="s">
        <v>393</v>
      </c>
      <c r="K34" s="770"/>
      <c r="L34" s="527">
        <f>Bystander!M$28</f>
        <v>0</v>
      </c>
      <c r="M34" s="627">
        <f>Bystander!M29</f>
        <v>0</v>
      </c>
      <c r="N34" s="769" t="s">
        <v>393</v>
      </c>
      <c r="O34" s="770"/>
      <c r="P34" s="527">
        <f>Bystander!Q$28</f>
        <v>0</v>
      </c>
      <c r="Q34" s="627">
        <f>Bystander!Q29</f>
        <v>0</v>
      </c>
      <c r="R34" s="769" t="s">
        <v>393</v>
      </c>
      <c r="S34" s="770"/>
      <c r="T34" s="760" t="str">
        <f>Bystander!U$29</f>
        <v>N/A</v>
      </c>
      <c r="U34" s="761"/>
    </row>
    <row r="35" spans="1:21" ht="15" customHeight="1">
      <c r="A35" s="751" t="s">
        <v>394</v>
      </c>
      <c r="B35" s="771" t="s">
        <v>390</v>
      </c>
      <c r="C35" s="772"/>
      <c r="D35" s="721">
        <f>Bystander!B$32</f>
        <v>0</v>
      </c>
      <c r="E35" s="722">
        <f>Bystander!B33</f>
        <v>0</v>
      </c>
      <c r="F35" s="771" t="s">
        <v>390</v>
      </c>
      <c r="G35" s="772"/>
      <c r="H35" s="721">
        <f>Bystander!F$32</f>
        <v>0</v>
      </c>
      <c r="I35" s="722">
        <f>Bystander!F33</f>
        <v>0</v>
      </c>
      <c r="J35" s="771" t="s">
        <v>390</v>
      </c>
      <c r="K35" s="772"/>
      <c r="L35" s="721">
        <f>Bystander!J$32</f>
        <v>0</v>
      </c>
      <c r="M35" s="722">
        <f>Bystander!J33</f>
        <v>0</v>
      </c>
      <c r="N35" s="771" t="s">
        <v>390</v>
      </c>
      <c r="O35" s="772"/>
      <c r="P35" s="721">
        <f>Bystander!N$32</f>
        <v>0</v>
      </c>
      <c r="Q35" s="722">
        <f>Bystander!N33</f>
        <v>0</v>
      </c>
      <c r="R35" s="771" t="s">
        <v>390</v>
      </c>
      <c r="S35" s="772"/>
      <c r="T35" s="779" t="str">
        <f>Bystander!R$33</f>
        <v>N/A</v>
      </c>
      <c r="U35" s="780"/>
    </row>
    <row r="36" spans="1:21" ht="15" customHeight="1">
      <c r="A36" s="751"/>
      <c r="B36" s="767" t="s">
        <v>391</v>
      </c>
      <c r="C36" s="768"/>
      <c r="D36" s="526">
        <f>Bystander!C$32</f>
        <v>2.7E-4</v>
      </c>
      <c r="E36" s="626">
        <f>Bystander!C33</f>
        <v>0</v>
      </c>
      <c r="F36" s="767" t="s">
        <v>391</v>
      </c>
      <c r="G36" s="768"/>
      <c r="H36" s="526">
        <f>Bystander!G$32</f>
        <v>2.7E-4</v>
      </c>
      <c r="I36" s="626">
        <f>Bystander!G33</f>
        <v>0</v>
      </c>
      <c r="J36" s="767" t="s">
        <v>391</v>
      </c>
      <c r="K36" s="768"/>
      <c r="L36" s="526">
        <f>Bystander!K$32</f>
        <v>2.7E-4</v>
      </c>
      <c r="M36" s="626">
        <f>Bystander!K33</f>
        <v>0</v>
      </c>
      <c r="N36" s="767" t="s">
        <v>391</v>
      </c>
      <c r="O36" s="768"/>
      <c r="P36" s="526">
        <f>Bystander!O$32</f>
        <v>2.7E-4</v>
      </c>
      <c r="Q36" s="626">
        <f>Bystander!O33</f>
        <v>0</v>
      </c>
      <c r="R36" s="767" t="s">
        <v>391</v>
      </c>
      <c r="S36" s="768"/>
      <c r="T36" s="758" t="str">
        <f>Bystander!S$33</f>
        <v>N/A</v>
      </c>
      <c r="U36" s="759"/>
    </row>
    <row r="37" spans="1:21" ht="15" customHeight="1">
      <c r="A37" s="751"/>
      <c r="B37" s="767" t="s">
        <v>392</v>
      </c>
      <c r="C37" s="768"/>
      <c r="D37" s="526" t="str">
        <f>Bystander!D$32</f>
        <v/>
      </c>
      <c r="E37" s="626">
        <f>Bystander!D33</f>
        <v>0</v>
      </c>
      <c r="F37" s="767" t="s">
        <v>392</v>
      </c>
      <c r="G37" s="768"/>
      <c r="H37" s="526" t="str">
        <f>Bystander!H$32</f>
        <v/>
      </c>
      <c r="I37" s="626">
        <f>Bystander!H33</f>
        <v>0</v>
      </c>
      <c r="J37" s="767" t="s">
        <v>392</v>
      </c>
      <c r="K37" s="768"/>
      <c r="L37" s="526" t="str">
        <f>Bystander!L$32</f>
        <v/>
      </c>
      <c r="M37" s="626">
        <f>Bystander!L33</f>
        <v>0</v>
      </c>
      <c r="N37" s="767" t="s">
        <v>392</v>
      </c>
      <c r="O37" s="768"/>
      <c r="P37" s="526" t="str">
        <f>Bystander!P$32</f>
        <v/>
      </c>
      <c r="Q37" s="626">
        <f>Bystander!P33</f>
        <v>0</v>
      </c>
      <c r="R37" s="767" t="s">
        <v>392</v>
      </c>
      <c r="S37" s="768"/>
      <c r="T37" s="758" t="str">
        <f>Bystander!T$33</f>
        <v>N/A</v>
      </c>
      <c r="U37" s="759"/>
    </row>
    <row r="38" spans="1:21" ht="15" customHeight="1" thickBot="1">
      <c r="A38" s="752"/>
      <c r="B38" s="769" t="s">
        <v>393</v>
      </c>
      <c r="C38" s="770"/>
      <c r="D38" s="527">
        <f>Bystander!E$32</f>
        <v>0</v>
      </c>
      <c r="E38" s="627">
        <f>Bystander!E33</f>
        <v>0</v>
      </c>
      <c r="F38" s="769" t="s">
        <v>393</v>
      </c>
      <c r="G38" s="770"/>
      <c r="H38" s="527">
        <f>Bystander!I$32</f>
        <v>0</v>
      </c>
      <c r="I38" s="627">
        <f>Bystander!I33</f>
        <v>0</v>
      </c>
      <c r="J38" s="769" t="s">
        <v>393</v>
      </c>
      <c r="K38" s="770"/>
      <c r="L38" s="527">
        <f>Bystander!M$32</f>
        <v>0</v>
      </c>
      <c r="M38" s="627">
        <f>Bystander!M33</f>
        <v>0</v>
      </c>
      <c r="N38" s="769" t="s">
        <v>393</v>
      </c>
      <c r="O38" s="770"/>
      <c r="P38" s="527">
        <f>Bystander!Q$32</f>
        <v>0</v>
      </c>
      <c r="Q38" s="627">
        <f>Bystander!Q33</f>
        <v>0</v>
      </c>
      <c r="R38" s="769" t="s">
        <v>393</v>
      </c>
      <c r="S38" s="770"/>
      <c r="T38" s="760" t="str">
        <f>Bystander!U$33</f>
        <v>N/A</v>
      </c>
      <c r="U38" s="761"/>
    </row>
    <row r="39" spans="1:21" ht="15" customHeight="1">
      <c r="A39" s="773" t="s">
        <v>395</v>
      </c>
      <c r="B39" s="528">
        <f>i_SubstName1</f>
        <v>0</v>
      </c>
      <c r="C39" s="529"/>
      <c r="D39" s="530"/>
      <c r="E39" s="531"/>
      <c r="F39" s="528">
        <f>i_SubstName2</f>
        <v>0</v>
      </c>
      <c r="G39" s="529"/>
      <c r="H39" s="530"/>
      <c r="I39" s="531"/>
      <c r="J39" s="528">
        <f>i_SubstName3</f>
        <v>0</v>
      </c>
      <c r="K39" s="529"/>
      <c r="L39" s="530"/>
      <c r="M39" s="531"/>
      <c r="N39" s="528">
        <f>i_SubstName4</f>
        <v>0</v>
      </c>
      <c r="O39" s="529"/>
      <c r="P39" s="530"/>
      <c r="Q39" s="531"/>
      <c r="R39" s="528" t="s">
        <v>370</v>
      </c>
      <c r="S39" s="529"/>
      <c r="T39" s="530"/>
      <c r="U39" s="531"/>
    </row>
    <row r="40" spans="1:21" ht="15" customHeight="1" thickBot="1">
      <c r="A40" s="774"/>
      <c r="B40" s="532" t="s">
        <v>396</v>
      </c>
      <c r="C40" s="533">
        <f>IFERROR('Recreational Exposure'!C32,"N/A")</f>
        <v>0</v>
      </c>
      <c r="D40" s="534" t="s">
        <v>397</v>
      </c>
      <c r="E40" s="535">
        <f>IFERROR('Recreational Exposure'!C35,"N/A")</f>
        <v>0</v>
      </c>
      <c r="F40" s="532" t="s">
        <v>396</v>
      </c>
      <c r="G40" s="533">
        <f>IFERROR('Recreational Exposure'!E32,"N/A")</f>
        <v>0</v>
      </c>
      <c r="H40" s="534" t="s">
        <v>397</v>
      </c>
      <c r="I40" s="535">
        <f>IFERROR('Recreational Exposure'!E35,"N/A")</f>
        <v>0</v>
      </c>
      <c r="J40" s="532" t="s">
        <v>396</v>
      </c>
      <c r="K40" s="533">
        <f>IFERROR('Recreational Exposure'!G32,"N/A")</f>
        <v>0</v>
      </c>
      <c r="L40" s="534" t="s">
        <v>397</v>
      </c>
      <c r="M40" s="535">
        <f>IFERROR('Recreational Exposure'!G35,"N/A")</f>
        <v>0</v>
      </c>
      <c r="N40" s="532" t="s">
        <v>396</v>
      </c>
      <c r="O40" s="533">
        <f>IFERROR('Recreational Exposure'!I32,"N/A")</f>
        <v>0</v>
      </c>
      <c r="P40" s="534" t="s">
        <v>397</v>
      </c>
      <c r="Q40" s="535">
        <f>IFERROR('Recreational Exposure'!I35,"N/A")</f>
        <v>0</v>
      </c>
      <c r="R40" s="532" t="s">
        <v>398</v>
      </c>
      <c r="S40" s="533" t="str">
        <f>IFERROR('Recreational Exposure'!J32,"N/A")</f>
        <v/>
      </c>
      <c r="T40" s="536" t="s">
        <v>399</v>
      </c>
      <c r="U40" s="535" t="str">
        <f>IFERROR('Recreational Exposure'!J35,"N/A")</f>
        <v/>
      </c>
    </row>
    <row r="41" spans="1:21" ht="35.25" customHeight="1">
      <c r="A41" s="703" t="str">
        <f>Instructions!A15</f>
        <v>v1.7: 29 September 2026</v>
      </c>
      <c r="B41" s="537"/>
      <c r="C41" s="537"/>
      <c r="D41" s="537"/>
      <c r="E41" s="362"/>
      <c r="F41" s="362"/>
      <c r="G41" s="362"/>
      <c r="H41" s="362"/>
      <c r="I41" s="362"/>
      <c r="J41" s="362"/>
      <c r="K41" s="362"/>
      <c r="L41" s="362"/>
      <c r="M41" s="362"/>
      <c r="N41" s="460"/>
      <c r="O41" s="362"/>
      <c r="P41" s="362"/>
      <c r="Q41" s="362"/>
      <c r="R41" s="362"/>
      <c r="S41" s="362"/>
      <c r="T41" s="362"/>
      <c r="U41" s="362"/>
    </row>
  </sheetData>
  <sheetProtection algorithmName="SHA-512" hashValue="WsvRfN2MV5sCyjWKzdtbp0oysxlln4oq88jJvMBfdkf7rIDonxouqPYHTBJb5abHGAmrdW4e3khbTTv48oLPsQ==" saltValue="5dA7pDd6xRUhe1NU+OYFzQ==" spinCount="100000" sheet="1" formatCells="0" formatColumns="0" formatRows="0"/>
  <mergeCells count="159">
    <mergeCell ref="B30:C30"/>
    <mergeCell ref="T9:U9"/>
    <mergeCell ref="T19:U19"/>
    <mergeCell ref="T30:U30"/>
    <mergeCell ref="F30:G30"/>
    <mergeCell ref="J30:K30"/>
    <mergeCell ref="N30:O30"/>
    <mergeCell ref="J19:K19"/>
    <mergeCell ref="F19:G19"/>
    <mergeCell ref="F9:G9"/>
    <mergeCell ref="T27:U27"/>
    <mergeCell ref="R28:S28"/>
    <mergeCell ref="T28:U28"/>
    <mergeCell ref="T23:U23"/>
    <mergeCell ref="N20:O20"/>
    <mergeCell ref="N21:O21"/>
    <mergeCell ref="N22:O22"/>
    <mergeCell ref="N23:O23"/>
    <mergeCell ref="F25:G25"/>
    <mergeCell ref="T10:U10"/>
    <mergeCell ref="T11:U11"/>
    <mergeCell ref="R10:S10"/>
    <mergeCell ref="R11:S11"/>
    <mergeCell ref="R12:S12"/>
    <mergeCell ref="J27:K27"/>
    <mergeCell ref="N29:O29"/>
    <mergeCell ref="J28:K28"/>
    <mergeCell ref="N26:O26"/>
    <mergeCell ref="R27:S27"/>
    <mergeCell ref="R21:S21"/>
    <mergeCell ref="R22:S22"/>
    <mergeCell ref="R23:S23"/>
    <mergeCell ref="R24:S24"/>
    <mergeCell ref="B2:C2"/>
    <mergeCell ref="F29:G29"/>
    <mergeCell ref="F20:G20"/>
    <mergeCell ref="F21:G21"/>
    <mergeCell ref="F22:G22"/>
    <mergeCell ref="F23:G23"/>
    <mergeCell ref="B27:C27"/>
    <mergeCell ref="B28:C28"/>
    <mergeCell ref="B29:C29"/>
    <mergeCell ref="B9:C9"/>
    <mergeCell ref="B20:C20"/>
    <mergeCell ref="B21:C21"/>
    <mergeCell ref="B22:C22"/>
    <mergeCell ref="B23:C23"/>
    <mergeCell ref="B19:C19"/>
    <mergeCell ref="B6:E6"/>
    <mergeCell ref="F24:G24"/>
    <mergeCell ref="F26:G26"/>
    <mergeCell ref="F27:G27"/>
    <mergeCell ref="F28:G28"/>
    <mergeCell ref="A12:A13"/>
    <mergeCell ref="B12:C12"/>
    <mergeCell ref="B13:C13"/>
    <mergeCell ref="A10:A11"/>
    <mergeCell ref="B10:C10"/>
    <mergeCell ref="B11:C11"/>
    <mergeCell ref="F12:G12"/>
    <mergeCell ref="F13:G13"/>
    <mergeCell ref="F10:G10"/>
    <mergeCell ref="F11:G11"/>
    <mergeCell ref="N10:O10"/>
    <mergeCell ref="N11:O11"/>
    <mergeCell ref="J10:K10"/>
    <mergeCell ref="J11:K11"/>
    <mergeCell ref="N12:O12"/>
    <mergeCell ref="T12:U12"/>
    <mergeCell ref="T13:U13"/>
    <mergeCell ref="R17:S17"/>
    <mergeCell ref="T24:U24"/>
    <mergeCell ref="J13:K13"/>
    <mergeCell ref="R16:S16"/>
    <mergeCell ref="R18:S18"/>
    <mergeCell ref="J21:K21"/>
    <mergeCell ref="J22:K22"/>
    <mergeCell ref="J23:K23"/>
    <mergeCell ref="R13:S13"/>
    <mergeCell ref="N13:O13"/>
    <mergeCell ref="J12:K12"/>
    <mergeCell ref="R15:S15"/>
    <mergeCell ref="T21:U21"/>
    <mergeCell ref="T22:U22"/>
    <mergeCell ref="T20:U20"/>
    <mergeCell ref="N24:O24"/>
    <mergeCell ref="J24:K24"/>
    <mergeCell ref="N38:O38"/>
    <mergeCell ref="J35:K35"/>
    <mergeCell ref="J36:K36"/>
    <mergeCell ref="J37:K37"/>
    <mergeCell ref="J38:K38"/>
    <mergeCell ref="T35:U35"/>
    <mergeCell ref="B24:C24"/>
    <mergeCell ref="J20:K20"/>
    <mergeCell ref="B25:C25"/>
    <mergeCell ref="B26:C26"/>
    <mergeCell ref="R26:S26"/>
    <mergeCell ref="N27:O27"/>
    <mergeCell ref="N28:O28"/>
    <mergeCell ref="R29:S29"/>
    <mergeCell ref="T29:U29"/>
    <mergeCell ref="R25:S25"/>
    <mergeCell ref="T25:U25"/>
    <mergeCell ref="J25:K25"/>
    <mergeCell ref="N25:O25"/>
    <mergeCell ref="T26:U26"/>
    <mergeCell ref="R35:S35"/>
    <mergeCell ref="R38:S38"/>
    <mergeCell ref="J29:K29"/>
    <mergeCell ref="J26:K26"/>
    <mergeCell ref="A39:A40"/>
    <mergeCell ref="R31:S31"/>
    <mergeCell ref="T31:U31"/>
    <mergeCell ref="R32:S32"/>
    <mergeCell ref="T32:U32"/>
    <mergeCell ref="R33:S33"/>
    <mergeCell ref="T33:U33"/>
    <mergeCell ref="R34:S34"/>
    <mergeCell ref="T34:U34"/>
    <mergeCell ref="B31:C31"/>
    <mergeCell ref="B32:C32"/>
    <mergeCell ref="B33:C33"/>
    <mergeCell ref="B34:C34"/>
    <mergeCell ref="N31:O31"/>
    <mergeCell ref="N32:O32"/>
    <mergeCell ref="N33:O33"/>
    <mergeCell ref="F34:G34"/>
    <mergeCell ref="F31:G31"/>
    <mergeCell ref="F32:G32"/>
    <mergeCell ref="F33:G33"/>
    <mergeCell ref="J31:K31"/>
    <mergeCell ref="J32:K32"/>
    <mergeCell ref="J33:K33"/>
    <mergeCell ref="N34:O34"/>
    <mergeCell ref="A25:A29"/>
    <mergeCell ref="A35:A38"/>
    <mergeCell ref="A19:A24"/>
    <mergeCell ref="B1:E1"/>
    <mergeCell ref="T37:U37"/>
    <mergeCell ref="T38:U38"/>
    <mergeCell ref="A14:A18"/>
    <mergeCell ref="A30:A34"/>
    <mergeCell ref="R20:S20"/>
    <mergeCell ref="T36:U36"/>
    <mergeCell ref="R36:S36"/>
    <mergeCell ref="R37:S37"/>
    <mergeCell ref="J34:K34"/>
    <mergeCell ref="B35:C35"/>
    <mergeCell ref="B36:C36"/>
    <mergeCell ref="B37:C37"/>
    <mergeCell ref="B38:C38"/>
    <mergeCell ref="F35:G35"/>
    <mergeCell ref="F36:G36"/>
    <mergeCell ref="F37:G37"/>
    <mergeCell ref="F38:G38"/>
    <mergeCell ref="N35:O35"/>
    <mergeCell ref="N36:O36"/>
    <mergeCell ref="N37:O37"/>
  </mergeCells>
  <conditionalFormatting sqref="C10:R13 C14:C18 F14:G15 J14:K15 R14:R18 N14:O15 F17:G18 G16 J17:K18 K16 N17:O18 O16 C19:R40">
    <cfRule type="cellIs" dxfId="5825" priority="2" operator="equal">
      <formula>0</formula>
    </cfRule>
  </conditionalFormatting>
  <conditionalFormatting sqref="C40">
    <cfRule type="cellIs" dxfId="5824" priority="1" operator="equal">
      <formula>0</formula>
    </cfRule>
  </conditionalFormatting>
  <pageMargins left="0.30416666666666697" right="0.7" top="0.75" bottom="0.75" header="0.3" footer="0.51180555555555496"/>
  <pageSetup paperSize="9" scale="81" firstPageNumber="0" orientation="portrait" horizontalDpi="300" verticalDpi="300" r:id="rId1"/>
  <headerFooter>
    <oddHeader>&amp;C&amp;"Calibri,Bold"Exposure assessment</oddHeader>
    <oddFooter>&amp;C&amp;1#&amp;"Arial"&amp;10&amp;K000000---Internal Use---</oddFooter>
  </headerFooter>
  <colBreaks count="1" manualBreakCount="1">
    <brk id="6" max="1048575" man="1"/>
  </colBreaks>
  <extLst>
    <ext xmlns:x14="http://schemas.microsoft.com/office/spreadsheetml/2009/9/main" uri="{78C0D931-6437-407d-A8EE-F0AAD7539E65}">
      <x14:conditionalFormattings>
        <x14:conditionalFormatting xmlns:xm="http://schemas.microsoft.com/office/excel/2006/main">
          <x14:cfRule type="expression" priority="3" id="{8C6686A3-D599-4926-9FE0-6FA7583E6ABA}">
            <xm:f>'Data entry'!$C$6&lt;&gt;"Amenity grassland"</xm:f>
            <x14:dxf>
              <fill>
                <patternFill patternType="lightDown"/>
              </fill>
            </x14:dxf>
          </x14:cfRule>
          <xm:sqref>A39:U40</xm:sqref>
        </x14:conditionalFormatting>
      </x14:conditionalFormatting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1B1D46-68CC-46C0-995B-0AA7937DB410}">
  <sheetPr codeName="Tabelle28"/>
  <dimension ref="A1:W117"/>
  <sheetViews>
    <sheetView workbookViewId="0"/>
  </sheetViews>
  <sheetFormatPr defaultColWidth="74.85546875" defaultRowHeight="15"/>
  <cols>
    <col min="1" max="1" width="12" customWidth="1"/>
    <col min="2" max="2" width="23.140625" customWidth="1"/>
    <col min="3" max="3" width="37.5703125" customWidth="1"/>
    <col min="4" max="4" width="40.85546875" customWidth="1"/>
    <col min="5" max="5" width="44.140625" customWidth="1"/>
    <col min="6" max="11" width="74.85546875" customWidth="1"/>
    <col min="12" max="12" width="31.28515625" customWidth="1"/>
  </cols>
  <sheetData>
    <row r="1" spans="1:13" ht="21.75" thickBot="1">
      <c r="B1" s="22" t="str">
        <f>"Operator exposure for "&amp;i_ProductName &amp; " spray applications"</f>
        <v>Operator exposure for  spray applications</v>
      </c>
      <c r="F1" s="277" t="str">
        <f>IF(i_FormVal &lt;&gt; "Granules, fine granules","","This sheet is only to be used for spray applications")</f>
        <v/>
      </c>
      <c r="I1" s="67"/>
      <c r="J1" s="215"/>
      <c r="K1" s="113"/>
    </row>
    <row r="2" spans="1:13" ht="15" customHeight="1">
      <c r="A2" s="27"/>
      <c r="B2" s="213"/>
      <c r="C2" s="214"/>
      <c r="D2" s="897">
        <f>i_SubstName1</f>
        <v>0</v>
      </c>
      <c r="E2" s="898"/>
      <c r="F2" s="897">
        <f>i_SubstName2</f>
        <v>0</v>
      </c>
      <c r="G2" s="898"/>
      <c r="H2" s="897">
        <f>i_SubstName3</f>
        <v>0</v>
      </c>
      <c r="I2" s="899"/>
      <c r="J2" s="897">
        <f>i_SubstName4</f>
        <v>0</v>
      </c>
      <c r="K2" s="898"/>
      <c r="L2" s="210"/>
      <c r="M2" s="211"/>
    </row>
    <row r="3" spans="1:13">
      <c r="A3" s="27"/>
      <c r="B3" s="28" t="s">
        <v>400</v>
      </c>
      <c r="C3" s="679"/>
      <c r="D3" s="892">
        <f>i_AppRateAS1*0.9</f>
        <v>0</v>
      </c>
      <c r="E3" s="893"/>
      <c r="F3" s="892">
        <f>i_AppRateAS2*0.9</f>
        <v>0</v>
      </c>
      <c r="G3" s="893"/>
      <c r="H3" s="892">
        <f>i_AppRateAS3*0.9</f>
        <v>0</v>
      </c>
      <c r="I3" s="900"/>
      <c r="J3" s="892">
        <f>i_AppRateAS4*0.9</f>
        <v>0</v>
      </c>
      <c r="K3" s="893"/>
      <c r="L3" s="28" t="s">
        <v>347</v>
      </c>
      <c r="M3" s="74" t="s">
        <v>401</v>
      </c>
    </row>
    <row r="4" spans="1:13">
      <c r="A4" s="27"/>
      <c r="B4" s="28" t="s">
        <v>402</v>
      </c>
      <c r="C4" s="679"/>
      <c r="D4" s="892">
        <f>d_AreaTreated*i_AppRateAS1</f>
        <v>0</v>
      </c>
      <c r="E4" s="893"/>
      <c r="F4" s="892">
        <f>d_AreaTreated*i_AppRateAS2</f>
        <v>0</v>
      </c>
      <c r="G4" s="893"/>
      <c r="H4" s="892">
        <f>d_AreaTreated*i_AppRateAS3</f>
        <v>0</v>
      </c>
      <c r="I4" s="893"/>
      <c r="J4" s="892">
        <f>d_AreaTreated*i_AppRateAS4</f>
        <v>0</v>
      </c>
      <c r="K4" s="893"/>
      <c r="L4" s="28" t="s">
        <v>403</v>
      </c>
      <c r="M4" s="74" t="s">
        <v>404</v>
      </c>
    </row>
    <row r="5" spans="1:13">
      <c r="A5" s="27"/>
      <c r="B5" s="28" t="s">
        <v>405</v>
      </c>
      <c r="C5" s="679"/>
      <c r="D5" s="894">
        <f>i_AbsorpProduct1</f>
        <v>0</v>
      </c>
      <c r="E5" s="895"/>
      <c r="F5" s="894">
        <f>i_AbsorpProduct2</f>
        <v>0</v>
      </c>
      <c r="G5" s="895"/>
      <c r="H5" s="894">
        <f>i_AbsorpProduct3</f>
        <v>0</v>
      </c>
      <c r="I5" s="896"/>
      <c r="J5" s="894">
        <f>i_AbsorpProduct4</f>
        <v>0</v>
      </c>
      <c r="K5" s="895"/>
      <c r="L5" s="216"/>
      <c r="M5" s="163" t="s">
        <v>406</v>
      </c>
    </row>
    <row r="6" spans="1:13" ht="15.75" thickBot="1">
      <c r="A6" s="27"/>
      <c r="B6" s="28" t="s">
        <v>355</v>
      </c>
      <c r="C6" s="679"/>
      <c r="D6" s="901">
        <f>i_AbsorpInuse1</f>
        <v>0</v>
      </c>
      <c r="E6" s="902"/>
      <c r="F6" s="901">
        <f>i_AbsorpInuse2</f>
        <v>0</v>
      </c>
      <c r="G6" s="902"/>
      <c r="H6" s="901">
        <f>i_AbsorpInuse3</f>
        <v>0</v>
      </c>
      <c r="I6" s="903"/>
      <c r="J6" s="901">
        <f>i_AbsorpInuse4</f>
        <v>0</v>
      </c>
      <c r="K6" s="902"/>
      <c r="L6" s="216"/>
      <c r="M6" s="163" t="s">
        <v>407</v>
      </c>
    </row>
    <row r="7" spans="1:13" ht="18.75">
      <c r="A7" s="27"/>
      <c r="B7" s="28" t="s">
        <v>311</v>
      </c>
      <c r="C7" s="679"/>
      <c r="D7" s="881">
        <f>i_FormVal</f>
        <v>0</v>
      </c>
      <c r="E7" s="882"/>
      <c r="F7" s="882"/>
      <c r="G7" s="882"/>
      <c r="H7" s="882"/>
      <c r="I7" s="882"/>
      <c r="J7" s="882"/>
      <c r="K7" s="883"/>
      <c r="L7" s="217"/>
      <c r="M7" s="163"/>
    </row>
    <row r="8" spans="1:13" ht="18.75">
      <c r="A8" s="27"/>
      <c r="B8" s="28" t="s">
        <v>321</v>
      </c>
      <c r="C8" s="679"/>
      <c r="D8" s="881">
        <f>'Data entry'!D8</f>
        <v>0</v>
      </c>
      <c r="E8" s="882"/>
      <c r="F8" s="882"/>
      <c r="G8" s="882"/>
      <c r="H8" s="882"/>
      <c r="I8" s="882"/>
      <c r="J8" s="882"/>
      <c r="K8" s="883"/>
      <c r="L8" s="217"/>
      <c r="M8" s="163"/>
    </row>
    <row r="9" spans="1:13" ht="18.75">
      <c r="A9" s="27"/>
      <c r="B9" s="28" t="s">
        <v>331</v>
      </c>
      <c r="C9" s="679"/>
      <c r="D9" s="881">
        <f>i_AppMeth</f>
        <v>0</v>
      </c>
      <c r="E9" s="882"/>
      <c r="F9" s="882"/>
      <c r="G9" s="882"/>
      <c r="H9" s="882"/>
      <c r="I9" s="882"/>
      <c r="J9" s="882"/>
      <c r="K9" s="883"/>
      <c r="L9" s="217"/>
      <c r="M9" s="163"/>
    </row>
    <row r="10" spans="1:13" ht="18.75">
      <c r="A10" s="27"/>
      <c r="B10" s="28" t="s">
        <v>332</v>
      </c>
      <c r="C10" s="679"/>
      <c r="D10" s="881">
        <f>i_AppEquip</f>
        <v>0</v>
      </c>
      <c r="E10" s="882"/>
      <c r="F10" s="882"/>
      <c r="G10" s="882"/>
      <c r="H10" s="882"/>
      <c r="I10" s="882"/>
      <c r="J10" s="882"/>
      <c r="K10" s="883"/>
      <c r="L10" s="217"/>
      <c r="M10" s="163"/>
    </row>
    <row r="11" spans="1:13">
      <c r="A11" s="27"/>
      <c r="B11" s="28" t="s">
        <v>408</v>
      </c>
      <c r="C11" s="679"/>
      <c r="D11" s="881">
        <f>d_AreaTreated</f>
        <v>1</v>
      </c>
      <c r="E11" s="882"/>
      <c r="F11" s="882"/>
      <c r="G11" s="882"/>
      <c r="H11" s="882"/>
      <c r="I11" s="882"/>
      <c r="J11" s="882"/>
      <c r="K11" s="883"/>
      <c r="L11" s="28" t="s">
        <v>409</v>
      </c>
      <c r="M11" s="74" t="s">
        <v>410</v>
      </c>
    </row>
    <row r="12" spans="1:13" ht="19.5" thickBot="1">
      <c r="A12" s="27"/>
      <c r="B12" s="68" t="s">
        <v>411</v>
      </c>
      <c r="C12" s="66"/>
      <c r="D12" s="884" t="str">
        <f>i_Season</f>
        <v>not relevant</v>
      </c>
      <c r="E12" s="885"/>
      <c r="F12" s="885"/>
      <c r="G12" s="885"/>
      <c r="H12" s="885"/>
      <c r="I12" s="885"/>
      <c r="J12" s="885"/>
      <c r="K12" s="886"/>
      <c r="L12" s="218"/>
      <c r="M12" s="164"/>
    </row>
    <row r="13" spans="1:13" ht="31.5" customHeight="1" thickBot="1">
      <c r="A13" s="27"/>
      <c r="B13" s="887" t="str">
        <f>i_IndoorOutdoor&amp;i_FormVal&amp;i_AppMeth&amp;"Manual-Trolley"</f>
        <v>Manual-Trolley</v>
      </c>
      <c r="C13" s="888"/>
      <c r="D13" s="888"/>
      <c r="E13" s="888"/>
      <c r="F13" s="888"/>
      <c r="G13" s="888"/>
      <c r="H13" s="888"/>
      <c r="I13" s="888"/>
      <c r="J13" s="888"/>
      <c r="K13" s="888"/>
      <c r="L13" s="888"/>
      <c r="M13" s="889"/>
    </row>
    <row r="14" spans="1:13" ht="15" customHeight="1" thickBot="1">
      <c r="A14" s="27"/>
      <c r="B14" s="652"/>
      <c r="C14" s="652"/>
      <c r="D14" s="890">
        <f>i_SubstName1</f>
        <v>0</v>
      </c>
      <c r="E14" s="891"/>
      <c r="F14" s="890">
        <f>i_SubstName2</f>
        <v>0</v>
      </c>
      <c r="G14" s="891"/>
      <c r="H14" s="890">
        <f>i_SubstName3</f>
        <v>0</v>
      </c>
      <c r="I14" s="891"/>
      <c r="J14" s="890">
        <f>i_SubstName4</f>
        <v>0</v>
      </c>
      <c r="K14" s="891"/>
    </row>
    <row r="15" spans="1:13" ht="15" customHeight="1" thickBot="1">
      <c r="A15" s="27"/>
      <c r="B15" s="872" t="s">
        <v>412</v>
      </c>
      <c r="C15" s="880" t="s">
        <v>413</v>
      </c>
      <c r="D15" s="877" t="s">
        <v>414</v>
      </c>
      <c r="E15" s="863"/>
      <c r="F15" s="877" t="s">
        <v>414</v>
      </c>
      <c r="G15" s="863"/>
      <c r="H15" s="877" t="s">
        <v>414</v>
      </c>
      <c r="I15" s="863"/>
      <c r="J15" s="877" t="s">
        <v>414</v>
      </c>
      <c r="K15" s="863"/>
      <c r="L15" s="861" t="s">
        <v>415</v>
      </c>
      <c r="M15" s="863" t="s">
        <v>416</v>
      </c>
    </row>
    <row r="16" spans="1:13" ht="15.75" thickBot="1">
      <c r="A16" s="27"/>
      <c r="B16" s="872"/>
      <c r="C16" s="880"/>
      <c r="D16" s="146" t="s">
        <v>145</v>
      </c>
      <c r="E16" s="147" t="s">
        <v>417</v>
      </c>
      <c r="F16" s="146" t="s">
        <v>145</v>
      </c>
      <c r="G16" s="147" t="s">
        <v>417</v>
      </c>
      <c r="H16" s="146" t="s">
        <v>145</v>
      </c>
      <c r="I16" s="147" t="s">
        <v>417</v>
      </c>
      <c r="J16" s="146" t="s">
        <v>145</v>
      </c>
      <c r="K16" s="147" t="s">
        <v>417</v>
      </c>
      <c r="L16" s="861"/>
      <c r="M16" s="863"/>
    </row>
    <row r="17" spans="1:23" ht="21" customHeight="1" thickBot="1">
      <c r="A17" s="27"/>
      <c r="B17" s="872"/>
      <c r="C17" s="138" t="s">
        <v>418</v>
      </c>
      <c r="D17" s="148" t="e">
        <f>IF(ISBLANK(INDEX(ay_OpExAOEM,MATCH(sys_KeyOperator&amp;"Hands",key_AOEM,0),10)),10^(INDEX(ay_OpExAOEM,MATCH(sys_KeyOperator&amp;"Hands",key_AOEM,0),7)+(LOG(i_AmountAS1)*INDEX(ay_OpExAOEM,MATCH(sys_KeyOperator&amp;"Hands",key_AOEM,0),8))+INDEX(ay_OpExAOEM,MATCH(sys_KeyOperator&amp;"Hands",key_AOEM,0),9)),MAX(INDEX(ay_OpExAOEM,MATCH(sys_KeyOperator&amp;"Hands",key_AOEM,0),10),(INDEX(ay_OpExAOEM,MATCH(sys_KeyOperator&amp;"Hands",key_AOEM,0),10)/1.5)*i_AmountAS1))</f>
        <v>#N/A</v>
      </c>
      <c r="E17" s="149" t="e">
        <f>IF(ISBLANK(INDEX(ay_OpExAOEM,MATCH(sys_KeyOperator&amp;"Hands",key_AOEM,0),14)),10^(INDEX(ay_OpExAOEM,MATCH(sys_KeyOperator&amp;"Hands",key_AOEM,0),11)+(LOG(i_AmountAS1)*INDEX(ay_OpExAOEM,MATCH(sys_KeyOperator&amp;"Hands",key_AOEM,0),12))+INDEX(ay_OpExAOEM,MATCH(sys_KeyOperator&amp;"Hands",key_AOEM,0),13)),MAX(INDEX(ay_OpExAOEM,MATCH(sys_KeyOperator&amp;"Hands",key_AOEM,0),14),(INDEX(ay_OpExAOEM,MATCH(sys_KeyOperator&amp;"Hands",key_AOEM,0),14)/1.5)*i_AmountAS1))</f>
        <v>#N/A</v>
      </c>
      <c r="F17" s="148" t="e">
        <f>IF(ISBLANK(INDEX(ay_OpExAOEM,MATCH(sys_KeyOperator&amp;"Hands",key_AOEM,0),10)),10^(INDEX(ay_OpExAOEM,MATCH(sys_KeyOperator&amp;"Hands",key_AOEM,0),7)+(LOG(i_AmountAS2)*INDEX(ay_OpExAOEM,MATCH(sys_KeyOperator&amp;"Hands",key_AOEM,0),8))+INDEX(ay_OpExAOEM,MATCH(sys_KeyOperator&amp;"Hands",key_AOEM,0),9)),MAX(INDEX(ay_OpExAOEM,MATCH(sys_KeyOperator&amp;"Hands",key_AOEM,0),10),(INDEX(ay_OpExAOEM,MATCH(sys_KeyOperator&amp;"Hands",key_AOEM,0),10)/1.5)*i_AmountAS2))</f>
        <v>#N/A</v>
      </c>
      <c r="G17" s="149" t="e">
        <f>IF(ISBLANK(INDEX(ay_OpExAOEM,MATCH(sys_KeyOperator&amp;"Hands",key_AOEM,0),14)),10^(INDEX(ay_OpExAOEM,MATCH(sys_KeyOperator&amp;"Hands",key_AOEM,0),11)+(LOG(i_AmountAS2)*INDEX(ay_OpExAOEM,MATCH(sys_KeyOperator&amp;"Hands",key_AOEM,0),12))+INDEX(ay_OpExAOEM,MATCH(sys_KeyOperator&amp;"Hands",key_AOEM,0),13)),MAX(INDEX(ay_OpExAOEM,MATCH(sys_KeyOperator&amp;"Hands",key_AOEM,0),14),(INDEX(ay_OpExAOEM,MATCH(sys_KeyOperator&amp;"Hands",key_AOEM,0),14)/1.5)*i_AmountAS2))</f>
        <v>#N/A</v>
      </c>
      <c r="H17" s="148" t="e">
        <f>IF(ISBLANK(INDEX(ay_OpExAOEM,MATCH(sys_KeyOperator&amp;"Hands",key_AOEM,0),10)),10^(INDEX(ay_OpExAOEM,MATCH(sys_KeyOperator&amp;"Hands",key_AOEM,0),7)+(LOG(i_AmountAS3)*INDEX(ay_OpExAOEM,MATCH(sys_KeyOperator&amp;"Hands",key_AOEM,0),8))+INDEX(ay_OpExAOEM,MATCH(sys_KeyOperator&amp;"Hands",key_AOEM,0),9)),MAX(INDEX(ay_OpExAOEM,MATCH(sys_KeyOperator&amp;"Hands",key_AOEM,0),10),(INDEX(ay_OpExAOEM,MATCH(sys_KeyOperator&amp;"Hands",key_AOEM,0),10)/1.5)*i_AmountAS3))</f>
        <v>#N/A</v>
      </c>
      <c r="I17" s="149" t="e">
        <f>IF(ISBLANK(INDEX(ay_OpExAOEM,MATCH(sys_KeyOperator&amp;"Hands",key_AOEM,0),14)),10^(INDEX(ay_OpExAOEM,MATCH(sys_KeyOperator&amp;"Hands",key_AOEM,0),11)+(LOG(i_AmountAS3)*INDEX(ay_OpExAOEM,MATCH(sys_KeyOperator&amp;"Hands",key_AOEM,0),12))+INDEX(ay_OpExAOEM,MATCH(sys_KeyOperator&amp;"Hands",key_AOEM,0),13)),MAX(INDEX(ay_OpExAOEM,MATCH(sys_KeyOperator&amp;"Hands",key_AOEM,0),14),(INDEX(ay_OpExAOEM,MATCH(sys_KeyOperator&amp;"Hands",key_AOEM,0),14)/1.5)*i_AmountAS3))</f>
        <v>#N/A</v>
      </c>
      <c r="J17" s="148" t="e">
        <f>IF(ISBLANK(INDEX(ay_OpExAOEM,MATCH(sys_KeyOperator&amp;"Hands",key_AOEM,0),10)),10^(INDEX(ay_OpExAOEM,MATCH(sys_KeyOperator&amp;"Hands",key_AOEM,0),7)+(LOG(i_AmountAS4)*INDEX(ay_OpExAOEM,MATCH(sys_KeyOperator&amp;"Hands",key_AOEM,0),8))+INDEX(ay_OpExAOEM,MATCH(sys_KeyOperator&amp;"Hands",key_AOEM,0),9)),MAX(INDEX(ay_OpExAOEM,MATCH(sys_KeyOperator&amp;"Hands",key_AOEM,0),10),(INDEX(ay_OpExAOEM,MATCH(sys_KeyOperator&amp;"Hands",key_AOEM,0),10)/1.5)*i_AmountAS4))</f>
        <v>#N/A</v>
      </c>
      <c r="K17" s="149" t="e">
        <f>IF(ISBLANK(INDEX(ay_OpExAOEM,MATCH(sys_KeyOperator&amp;"Hands",key_AOEM,0),14)),10^(INDEX(ay_OpExAOEM,MATCH(sys_KeyOperator&amp;"Hands",key_AOEM,0),11)+(LOG(i_AmountAS4)*INDEX(ay_OpExAOEM,MATCH(sys_KeyOperator&amp;"Hands",key_AOEM,0),12))+INDEX(ay_OpExAOEM,MATCH(sys_KeyOperator&amp;"Hands",key_AOEM,0),13)),MAX(INDEX(ay_OpExAOEM,MATCH(sys_KeyOperator&amp;"Hands",key_AOEM,0),14),(INDEX(ay_OpExAOEM,MATCH(sys_KeyOperator&amp;"Hands",key_AOEM,0),14)/1.5)*i_AmountAS4))</f>
        <v>#N/A</v>
      </c>
      <c r="L17" s="145" t="s">
        <v>419</v>
      </c>
      <c r="M17" s="35"/>
    </row>
    <row r="18" spans="1:23" ht="21" customHeight="1" thickBot="1">
      <c r="A18" s="27"/>
      <c r="B18" s="872"/>
      <c r="C18" s="138" t="s">
        <v>420</v>
      </c>
      <c r="D18" s="148" t="e">
        <f>IF(ISBLANK(INDEX(ay_OpExAOEM,MATCH(sys_KeyOperator&amp;"Body",key_AOEM,0),10)),10^(INDEX(ay_OpExAOEM,MATCH(sys_KeyOperator&amp;"Body",key_AOEM,0),7)+(LOG(i_AmountAS1)*INDEX(ay_OpExAOEM,MATCH(sys_KeyOperator&amp;"Body",key_AOEM,0),8))+INDEX(ay_OpExAOEM,MATCH(sys_KeyOperator&amp;"Body",key_AOEM,0),9)),MAX(INDEX(ay_OpExAOEM,MATCH(sys_KeyOperator&amp;"Body",key_AOEM,0),10),(INDEX(ay_OpExAOEM,MATCH(sys_KeyOperator&amp;"Body",key_AOEM,0),10)/1.5)*i_AmountAS1))</f>
        <v>#N/A</v>
      </c>
      <c r="E18" s="149" t="e">
        <f>IF(ISBLANK(INDEX(ay_OpExAOEM,MATCH(sys_KeyOperator&amp;"Body",key_AOEM,0),14)), 10^(INDEX(ay_OpExAOEM,MATCH(sys_KeyOperator&amp;"Body",key_AOEM,0),11) +(LOG(i_AmountAS1)*INDEX(ay_OpExAOEM,MATCH(sys_KeyOperator&amp;"Body",key_AOEM,0),12)) +INDEX(ay_OpExAOEM,MATCH(sys_KeyOperator&amp;"Body",key_AOEM,0),13)),MAX(INDEX(ay_OpExAOEM,MATCH(sys_KeyOperator&amp;"Body",key_AOEM,0),14),(INDEX(ay_OpExAOEM,MATCH(sys_KeyOperator&amp;"Body",key_AOEM,0),14) /1.5)*i_AmountAS1))</f>
        <v>#N/A</v>
      </c>
      <c r="F18" s="148" t="e">
        <f>IF(ISBLANK(INDEX(ay_OpExAOEM,MATCH(sys_KeyOperator&amp;"Body",key_AOEM,0),10)),10^(INDEX(ay_OpExAOEM,MATCH(sys_KeyOperator&amp;"Body",key_AOEM,0),7)+(LOG(i_AmountAS2)*INDEX(ay_OpExAOEM,MATCH(sys_KeyOperator&amp;"Body",key_AOEM,0),8))+INDEX(ay_OpExAOEM,MATCH(sys_KeyOperator&amp;"Body",key_AOEM,0),9)),MAX(INDEX(ay_OpExAOEM,MATCH(sys_KeyOperator&amp;"Body",key_AOEM,0),10),(INDEX(ay_OpExAOEM,MATCH(sys_KeyOperator&amp;"Body",key_AOEM,0),10)/1.5)*i_AmountAS2))</f>
        <v>#N/A</v>
      </c>
      <c r="G18" s="149" t="e">
        <f>IF(ISBLANK(INDEX(ay_OpExAOEM,MATCH(sys_KeyOperator&amp;"Body",key_AOEM,0),14)), 10^(INDEX(ay_OpExAOEM,MATCH(sys_KeyOperator&amp;"Body",key_AOEM,0),11) +(LOG(i_AmountAS2)*INDEX(ay_OpExAOEM,MATCH(sys_KeyOperator&amp;"Body",key_AOEM,0),12)) +INDEX(ay_OpExAOEM,MATCH(sys_KeyOperator&amp;"Body",key_AOEM,0),13)),MAX(INDEX(ay_OpExAOEM,MATCH(sys_KeyOperator&amp;"Body",key_AOEM,0),14),(INDEX(ay_OpExAOEM,MATCH(sys_KeyOperator&amp;"Body",key_AOEM,0),14) /1.5)*i_AmountAS2))</f>
        <v>#N/A</v>
      </c>
      <c r="H18" s="148" t="e">
        <f>IF(ISBLANK(INDEX(ay_OpExAOEM,MATCH(sys_KeyOperator&amp;"Body",key_AOEM,0),10)),10^(INDEX(ay_OpExAOEM,MATCH(sys_KeyOperator&amp;"Body",key_AOEM,0),7)+(LOG(i_AmountAS3)*INDEX(ay_OpExAOEM,MATCH(sys_KeyOperator&amp;"Body",key_AOEM,0),8))+INDEX(ay_OpExAOEM,MATCH(sys_KeyOperator&amp;"Body",key_AOEM,0),9)),MAX(INDEX(ay_OpExAOEM,MATCH(sys_KeyOperator&amp;"Body",key_AOEM,0),10),(INDEX(ay_OpExAOEM,MATCH(sys_KeyOperator&amp;"Body",key_AOEM,0),10)/1.5)*i_AmountAS3))</f>
        <v>#N/A</v>
      </c>
      <c r="I18" s="149" t="e">
        <f>IF(ISBLANK(INDEX(ay_OpExAOEM,MATCH(sys_KeyOperator&amp;"Body",key_AOEM,0),14)), 10^(INDEX(ay_OpExAOEM,MATCH(sys_KeyOperator&amp;"Body",key_AOEM,0),11) +(LOG(i_AmountAS3)*INDEX(ay_OpExAOEM,MATCH(sys_KeyOperator&amp;"Body",key_AOEM,0),12)) +INDEX(ay_OpExAOEM,MATCH(sys_KeyOperator&amp;"Body",key_AOEM,0),13)),MAX(INDEX(ay_OpExAOEM,MATCH(sys_KeyOperator&amp;"Body",key_AOEM,0),14),(INDEX(ay_OpExAOEM,MATCH(sys_KeyOperator&amp;"Body",key_AOEM,0),14) /1.5)*i_AmountAS3))</f>
        <v>#N/A</v>
      </c>
      <c r="J18" s="148" t="e">
        <f>IF(ISBLANK(INDEX(ay_OpExAOEM,MATCH(sys_KeyOperator&amp;"Body",key_AOEM,0),10)),10^(INDEX(ay_OpExAOEM,MATCH(sys_KeyOperator&amp;"Body",key_AOEM,0),7)+(LOG(i_AmountAS4)*INDEX(ay_OpExAOEM,MATCH(sys_KeyOperator&amp;"Body",key_AOEM,0),8))+INDEX(ay_OpExAOEM,MATCH(sys_KeyOperator&amp;"Body",key_AOEM,0),9)),MAX(INDEX(ay_OpExAOEM,MATCH(sys_KeyOperator&amp;"Body",key_AOEM,0),10),(INDEX(ay_OpExAOEM,MATCH(sys_KeyOperator&amp;"Body",key_AOEM,0),10)/1.5)*i_AmountAS4))</f>
        <v>#N/A</v>
      </c>
      <c r="K18" s="149" t="e">
        <f>IF(ISBLANK(INDEX(ay_OpExAOEM,MATCH(sys_KeyOperator&amp;"Body",key_AOEM,0),14)), 10^(INDEX(ay_OpExAOEM,MATCH(sys_KeyOperator&amp;"Body",key_AOEM,0),11) +(LOG(i_AmountAS4)*INDEX(ay_OpExAOEM,MATCH(sys_KeyOperator&amp;"Body",key_AOEM,0),12)) +INDEX(ay_OpExAOEM,MATCH(sys_KeyOperator&amp;"Body",key_AOEM,0),13)),MAX(INDEX(ay_OpExAOEM,MATCH(sys_KeyOperator&amp;"Body",key_AOEM,0),14),(INDEX(ay_OpExAOEM,MATCH(sys_KeyOperator&amp;"Body",key_AOEM,0),14) /1.5)*i_AmountAS4))</f>
        <v>#N/A</v>
      </c>
      <c r="L18" s="145" t="s">
        <v>419</v>
      </c>
      <c r="M18" s="35"/>
    </row>
    <row r="19" spans="1:23" ht="21" customHeight="1" thickBot="1">
      <c r="A19" s="27"/>
      <c r="B19" s="872"/>
      <c r="C19" s="139" t="s">
        <v>104</v>
      </c>
      <c r="D19" s="148" t="e">
        <f>IF(ISBLANK(INDEX(ay_OpExAOEM,MATCH(sys_KeyOperator&amp;"Head",key_AOEM,0),10)),10^(INDEX(ay_OpExAOEM,MATCH(sys_KeyOperator&amp;"Head",key_AOEM,0),7)+(LOG(i_AmountAS1)*INDEX(ay_OpExAOEM,MATCH(sys_KeyOperator&amp;"Head",key_AOEM,0),8))+INDEX(ay_OpExAOEM,MATCH(sys_KeyOperator&amp;"Head",key_AOEM,0),9)),MAX(INDEX(ay_OpExAOEM,MATCH(sys_KeyOperator&amp;"Head",key_AOEM,0),10),(INDEX(ay_OpExAOEM,MATCH(sys_KeyOperator&amp;"Head",key_AOEM,0),10)/1.5)*i_AmountAS1))</f>
        <v>#N/A</v>
      </c>
      <c r="E19" s="149" t="e">
        <f>IF(ISBLANK(INDEX(ay_OpExAOEM,MATCH(sys_KeyOperator&amp;"Head",key_AOEM,0),14)), 10^(INDEX(ay_OpExAOEM,MATCH(sys_KeyOperator&amp;"Head",key_AOEM,0),11) +(LOG(i_AmountAS1)*INDEX(ay_OpExAOEM,MATCH(sys_KeyOperator&amp;"Head",key_AOEM,0),12)) +INDEX(ay_OpExAOEM,MATCH(sys_KeyOperator&amp;"Head",key_AOEM,0),13)),MAX(INDEX(ay_OpExAOEM,MATCH(sys_KeyOperator&amp;"Head",key_AOEM,0),14),(INDEX(ay_OpExAOEM,MATCH(sys_KeyOperator&amp;"Head",key_AOEM,0),14) /1.5)*i_AmountAS1))</f>
        <v>#N/A</v>
      </c>
      <c r="F19" s="148" t="e">
        <f>IF(ISBLANK(INDEX(ay_OpExAOEM,MATCH(sys_KeyOperator&amp;"Head",key_AOEM,0),10)),10^(INDEX(ay_OpExAOEM,MATCH(sys_KeyOperator&amp;"Head",key_AOEM,0),7)+(LOG(i_AmountAS2)*INDEX(ay_OpExAOEM,MATCH(sys_KeyOperator&amp;"Head",key_AOEM,0),8))+INDEX(ay_OpExAOEM,MATCH(sys_KeyOperator&amp;"Head",key_AOEM,0),9)),MAX(INDEX(ay_OpExAOEM,MATCH(sys_KeyOperator&amp;"Head",key_AOEM,0),10),(INDEX(ay_OpExAOEM,MATCH(sys_KeyOperator&amp;"Head",key_AOEM,0),10)/1.5)*i_AmountAS2))</f>
        <v>#N/A</v>
      </c>
      <c r="G19" s="149" t="e">
        <f>IF(ISBLANK(INDEX(ay_OpExAOEM,MATCH(sys_KeyOperator&amp;"Head",key_AOEM,0),14)), 10^(INDEX(ay_OpExAOEM,MATCH(sys_KeyOperator&amp;"Head",key_AOEM,0),11) +(LOG(i_AmountAS2)*INDEX(ay_OpExAOEM,MATCH(sys_KeyOperator&amp;"Head",key_AOEM,0),12)) +INDEX(ay_OpExAOEM,MATCH(sys_KeyOperator&amp;"Head",key_AOEM,0),13)),MAX(INDEX(ay_OpExAOEM,MATCH(sys_KeyOperator&amp;"Head",key_AOEM,0),14),(INDEX(ay_OpExAOEM,MATCH(sys_KeyOperator&amp;"Head",key_AOEM,0),14) /1.5)*i_AmountAS2))</f>
        <v>#N/A</v>
      </c>
      <c r="H19" s="148" t="e">
        <f>IF(ISBLANK(INDEX(ay_OpExAOEM,MATCH(sys_KeyOperator&amp;"Head",key_AOEM,0),10)),10^(INDEX(ay_OpExAOEM,MATCH(sys_KeyOperator&amp;"Head",key_AOEM,0),7)+(LOG(i_AmountAS3)*INDEX(ay_OpExAOEM,MATCH(sys_KeyOperator&amp;"Head",key_AOEM,0),8))+INDEX(ay_OpExAOEM,MATCH(sys_KeyOperator&amp;"Head",key_AOEM,0),9)),MAX(INDEX(ay_OpExAOEM,MATCH(sys_KeyOperator&amp;"Head",key_AOEM,0),10),(INDEX(ay_OpExAOEM,MATCH(sys_KeyOperator&amp;"Head",key_AOEM,0),10)/1.5)*i_AmountAS3))</f>
        <v>#N/A</v>
      </c>
      <c r="I19" s="149" t="e">
        <f>IF(ISBLANK(INDEX(ay_OpExAOEM,MATCH(sys_KeyOperator&amp;"Head",key_AOEM,0),14)), 10^(INDEX(ay_OpExAOEM,MATCH(sys_KeyOperator&amp;"Head",key_AOEM,0),11) +(LOG(i_AmountAS3)*INDEX(ay_OpExAOEM,MATCH(sys_KeyOperator&amp;"Head",key_AOEM,0),12)) +INDEX(ay_OpExAOEM,MATCH(sys_KeyOperator&amp;"Head",key_AOEM,0),13)),MAX(INDEX(ay_OpExAOEM,MATCH(sys_KeyOperator&amp;"Head",key_AOEM,0),14),(INDEX(ay_OpExAOEM,MATCH(sys_KeyOperator&amp;"Head",key_AOEM,0),14) /1.5)*i_AmountAS3))</f>
        <v>#N/A</v>
      </c>
      <c r="J19" s="148" t="e">
        <f>IF(ISBLANK(INDEX(ay_OpExAOEM,MATCH(sys_KeyOperator&amp;"Head",key_AOEM,0),10)),10^(INDEX(ay_OpExAOEM,MATCH(sys_KeyOperator&amp;"Head",key_AOEM,0),7)+(LOG(i_AmountAS4)*INDEX(ay_OpExAOEM,MATCH(sys_KeyOperator&amp;"Head",key_AOEM,0),8))+INDEX(ay_OpExAOEM,MATCH(sys_KeyOperator&amp;"Head",key_AOEM,0),9)),MAX(INDEX(ay_OpExAOEM,MATCH(sys_KeyOperator&amp;"Head",key_AOEM,0),10),(INDEX(ay_OpExAOEM,MATCH(sys_KeyOperator&amp;"Head",key_AOEM,0),10)/1.5)*i_AmountAS4))</f>
        <v>#N/A</v>
      </c>
      <c r="K19" s="149" t="e">
        <f>IF(ISBLANK(INDEX(ay_OpExAOEM,MATCH(sys_KeyOperator&amp;"Head",key_AOEM,0),14)), 10^(INDEX(ay_OpExAOEM,MATCH(sys_KeyOperator&amp;"Head",key_AOEM,0),11) +(LOG(i_AmountAS4)*INDEX(ay_OpExAOEM,MATCH(sys_KeyOperator&amp;"Head",key_AOEM,0),12)) +INDEX(ay_OpExAOEM,MATCH(sys_KeyOperator&amp;"Head",key_AOEM,0),13)),MAX(INDEX(ay_OpExAOEM,MATCH(sys_KeyOperator&amp;"Head",key_AOEM,0),14),(INDEX(ay_OpExAOEM,MATCH(sys_KeyOperator&amp;"Head",key_AOEM,0),14) /1.5)*i_AmountAS4))</f>
        <v>#N/A</v>
      </c>
      <c r="L19" s="145" t="s">
        <v>419</v>
      </c>
      <c r="M19" s="36"/>
    </row>
    <row r="20" spans="1:23" ht="21.75" customHeight="1" thickBot="1">
      <c r="A20" s="27"/>
      <c r="B20" s="872"/>
      <c r="C20" s="140" t="s">
        <v>421</v>
      </c>
      <c r="D20" s="148" t="e">
        <f>IF(ISBLANK(INDEX(ay_OpExAOEM,MATCH(sys_KeyOperator&amp;"Protected hands",key_AOEM,0),10)),10^(INDEX(ay_OpExAOEM,MATCH(sys_KeyOperator&amp;"Protected hands",key_AOEM,0),7)+(LOG(i_AmountAS1)*INDEX(ay_OpExAOEM,MATCH(sys_KeyOperator&amp;"Protected hands",key_AOEM,0),8))+INDEX(ay_OpExAOEM,MATCH(sys_KeyOperator&amp;"Protected hands",key_AOEM,0),9)),MAX(INDEX(ay_OpExAOEM,MATCH(sys_KeyOperator&amp;"Protected hands",key_AOEM,0),10),(INDEX(ay_OpExAOEM,MATCH(sys_KeyOperator&amp;"Protected hands",key_AOEM,0),10)/1.5)*i_AmountAS1))</f>
        <v>#N/A</v>
      </c>
      <c r="E20" s="149" t="e">
        <f>IF(ISBLANK(INDEX(ay_OpExAOEM,MATCH(sys_KeyOperator&amp;"Protected Hands",key_AOEM,0),14)), 10^(INDEX(ay_OpExAOEM,MATCH(sys_KeyOperator&amp;"Protected Hands",key_AOEM,0),11) +(LOG(i_AmountAS1)*INDEX(ay_OpExAOEM,MATCH(sys_KeyOperator&amp;"Protected Hands",key_AOEM,0),12)) +INDEX(ay_OpExAOEM,MATCH(sys_KeyOperator&amp;"Protected Hands",key_AOEM,0),13)),MAX(INDEX(ay_OpExAOEM,MATCH(sys_KeyOperator&amp;"Protected Hands",key_AOEM,0),14),(INDEX(ay_OpExAOEM,MATCH(sys_KeyOperator&amp;"Protected Hands",key_AOEM,0),14) /1.5)*i_AmountAS1))</f>
        <v>#N/A</v>
      </c>
      <c r="F20" s="148" t="e">
        <f>IF(ISBLANK(INDEX(ay_OpExAOEM,MATCH(sys_KeyOperator&amp;"Protected hands",key_AOEM,0),10)),10^(INDEX(ay_OpExAOEM,MATCH(sys_KeyOperator&amp;"Protected hands",key_AOEM,0),7)+(LOG(i_AmountAS2)*INDEX(ay_OpExAOEM,MATCH(sys_KeyOperator&amp;"Protected hands",key_AOEM,0),8))+INDEX(ay_OpExAOEM,MATCH(sys_KeyOperator&amp;"Protected hands",key_AOEM,0),9)),MAX(INDEX(ay_OpExAOEM,MATCH(sys_KeyOperator&amp;"Protected hands",key_AOEM,0),10),(INDEX(ay_OpExAOEM,MATCH(sys_KeyOperator&amp;"Protected hands",key_AOEM,0),10)/1.5)*i_AmountAS2))</f>
        <v>#N/A</v>
      </c>
      <c r="G20" s="149" t="e">
        <f>IF(ISBLANK(INDEX(ay_OpExAOEM,MATCH(sys_KeyOperator&amp;"Protected Hands",key_AOEM,0),14)), 10^(INDEX(ay_OpExAOEM,MATCH(sys_KeyOperator&amp;"Protected Hands",key_AOEM,0),11) +(LOG(i_AmountAS2)*INDEX(ay_OpExAOEM,MATCH(sys_KeyOperator&amp;"Protected Hands",key_AOEM,0),12)) +INDEX(ay_OpExAOEM,MATCH(sys_KeyOperator&amp;"Protected Hands",key_AOEM,0),13)),MAX(INDEX(ay_OpExAOEM,MATCH(sys_KeyOperator&amp;"Protected Hands",key_AOEM,0),14),(INDEX(ay_OpExAOEM,MATCH(sys_KeyOperator&amp;"Protected Hands",key_AOEM,0),14) /1.5)*i_AmountAS2))</f>
        <v>#N/A</v>
      </c>
      <c r="H20" s="148" t="e">
        <f>IF(ISBLANK(INDEX(ay_OpExAOEM,MATCH(sys_KeyOperator&amp;"Protected hands",key_AOEM,0),10)),10^(INDEX(ay_OpExAOEM,MATCH(sys_KeyOperator&amp;"Protected hands",key_AOEM,0),7)+(LOG(i_AmountAS3)*INDEX(ay_OpExAOEM,MATCH(sys_KeyOperator&amp;"Protected hands",key_AOEM,0),8))+INDEX(ay_OpExAOEM,MATCH(sys_KeyOperator&amp;"Protected hands",key_AOEM,0),9)),MAX(INDEX(ay_OpExAOEM,MATCH(sys_KeyOperator&amp;"Protected hands",key_AOEM,0),10),(INDEX(ay_OpExAOEM,MATCH(sys_KeyOperator&amp;"Protected hands",key_AOEM,0),10)/1.5)*i_AmountAS3))</f>
        <v>#N/A</v>
      </c>
      <c r="I20" s="149" t="e">
        <f>IF(ISBLANK(INDEX(ay_OpExAOEM,MATCH(sys_KeyOperator&amp;"Protected Hands",key_AOEM,0),14)), 10^(INDEX(ay_OpExAOEM,MATCH(sys_KeyOperator&amp;"Protected Hands",key_AOEM,0),11) +(LOG(i_AmountAS3)*INDEX(ay_OpExAOEM,MATCH(sys_KeyOperator&amp;"Protected Hands",key_AOEM,0),12)) +INDEX(ay_OpExAOEM,MATCH(sys_KeyOperator&amp;"Protected Hands",key_AOEM,0),13)),MAX(INDEX(ay_OpExAOEM,MATCH(sys_KeyOperator&amp;"Protected Hands",key_AOEM,0),14),(INDEX(ay_OpExAOEM,MATCH(sys_KeyOperator&amp;"Protected Hands",key_AOEM,0),14) /1.5)*i_AmountAS3))</f>
        <v>#N/A</v>
      </c>
      <c r="J20" s="148" t="e">
        <f>IF(ISBLANK(INDEX(ay_OpExAOEM,MATCH(sys_KeyOperator&amp;"Protected hands",key_AOEM,0),10)),10^(INDEX(ay_OpExAOEM,MATCH(sys_KeyOperator&amp;"Protected hands",key_AOEM,0),7)+(LOG(i_AmountAS4)*INDEX(ay_OpExAOEM,MATCH(sys_KeyOperator&amp;"Protected hands",key_AOEM,0),8))+INDEX(ay_OpExAOEM,MATCH(sys_KeyOperator&amp;"Protected hands",key_AOEM,0),9)),MAX(INDEX(ay_OpExAOEM,MATCH(sys_KeyOperator&amp;"Protected hands",key_AOEM,0),10),(INDEX(ay_OpExAOEM,MATCH(sys_KeyOperator&amp;"Protected hands",key_AOEM,0),10)/1.5)*i_AmountAS4))</f>
        <v>#N/A</v>
      </c>
      <c r="K20" s="149" t="e">
        <f>IF(ISBLANK(INDEX(ay_OpExAOEM,MATCH(sys_KeyOperator&amp;"Protected Hands",key_AOEM,0),14)), 10^(INDEX(ay_OpExAOEM,MATCH(sys_KeyOperator&amp;"Protected Hands",key_AOEM,0),11) +(LOG(i_AmountAS4)*INDEX(ay_OpExAOEM,MATCH(sys_KeyOperator&amp;"Protected Hands",key_AOEM,0),12)) +INDEX(ay_OpExAOEM,MATCH(sys_KeyOperator&amp;"Protected Hands",key_AOEM,0),13)),MAX(INDEX(ay_OpExAOEM,MATCH(sys_KeyOperator&amp;"Protected Hands",key_AOEM,0),14),(INDEX(ay_OpExAOEM,MATCH(sys_KeyOperator&amp;"Protected Hands",key_AOEM,0),14) /1.5)*i_AmountAS4))</f>
        <v>#N/A</v>
      </c>
      <c r="L20" s="145" t="s">
        <v>419</v>
      </c>
      <c r="M20" s="36"/>
    </row>
    <row r="21" spans="1:23" ht="44.25" customHeight="1" thickBot="1">
      <c r="A21" s="27"/>
      <c r="B21" s="872"/>
      <c r="C21" s="140" t="s">
        <v>422</v>
      </c>
      <c r="D21" s="148" t="e">
        <f>IF(ISBLANK(INDEX(ay_OpExAOEM,MATCH(sys_KeyOperator&amp;"Protected Body",key_AOEM,0),10)),10^(INDEX(ay_OpExAOEM,MATCH(sys_KeyOperator&amp;"Protected Body",key_AOEM,0),7)+(LOG(i_AmountAS1)*INDEX(ay_OpExAOEM,MATCH(sys_KeyOperator&amp;"Protected Body",key_AOEM,0),8))+INDEX(ay_OpExAOEM,MATCH(sys_KeyOperator&amp;"Protected Body",key_AOEM,0),9)),MAX(INDEX(ay_OpExAOEM,MATCH(sys_KeyOperator&amp;"Protected Body",key_AOEM,0),10),(INDEX(ay_OpExAOEM,MATCH(sys_KeyOperator&amp;"Protected Body",key_AOEM,0),10)/1.5)*i_AmountAS1))</f>
        <v>#N/A</v>
      </c>
      <c r="E21" s="149" t="e">
        <f>IF(ISBLANK(INDEX(ay_OpExAOEM,MATCH(sys_KeyOperator&amp;"Protected Body",key_AOEM,0),14)), 10^(INDEX(ay_OpExAOEM,MATCH(sys_KeyOperator&amp;"Protected Body",key_AOEM,0),11) +(LOG(i_AmountAS1)*INDEX(ay_OpExAOEM,MATCH(sys_KeyOperator&amp;"Protected Body",key_AOEM,0),12)) +INDEX(ay_OpExAOEM,MATCH(sys_KeyOperator&amp;"Protected Body",key_AOEM,0),13)),MAX(INDEX(ay_OpExAOEM,MATCH(sys_KeyOperator&amp;"Protected Body",key_AOEM,0),14),(INDEX(ay_OpExAOEM,MATCH(sys_KeyOperator&amp;"Protected Body",key_AOEM,0),14) /1.5)*i_AmountAS1))</f>
        <v>#N/A</v>
      </c>
      <c r="F21" s="148" t="e">
        <f>IF(ISBLANK(INDEX(ay_OpExAOEM,MATCH(sys_KeyOperator&amp;"Protected Body",key_AOEM,0),10)),10^(INDEX(ay_OpExAOEM,MATCH(sys_KeyOperator&amp;"Protected Body",key_AOEM,0),7)+(LOG(i_AmountAS2)*INDEX(ay_OpExAOEM,MATCH(sys_KeyOperator&amp;"Protected Body",key_AOEM,0),8))+INDEX(ay_OpExAOEM,MATCH(sys_KeyOperator&amp;"Protected Body",key_AOEM,0),9)),MAX(INDEX(ay_OpExAOEM,MATCH(sys_KeyOperator&amp;"Protected Body",key_AOEM,0),10),(INDEX(ay_OpExAOEM,MATCH(sys_KeyOperator&amp;"Protected Body",key_AOEM,0),10)/1.5)*i_AmountAS2))</f>
        <v>#N/A</v>
      </c>
      <c r="G21" s="149" t="e">
        <f>IF(ISBLANK(INDEX(ay_OpExAOEM,MATCH(sys_KeyOperator&amp;"Protected Body",key_AOEM,0),14)), 10^(INDEX(ay_OpExAOEM,MATCH(sys_KeyOperator&amp;"Protected Body",key_AOEM,0),11) +(LOG(i_AmountAS2)*INDEX(ay_OpExAOEM,MATCH(sys_KeyOperator&amp;"Protected Body",key_AOEM,0),12)) +INDEX(ay_OpExAOEM,MATCH(sys_KeyOperator&amp;"Protected Body",key_AOEM,0),13)),MAX(INDEX(ay_OpExAOEM,MATCH(sys_KeyOperator&amp;"Protected Body",key_AOEM,0),14),(INDEX(ay_OpExAOEM,MATCH(sys_KeyOperator&amp;"Protected Body",key_AOEM,0),14) /1.5)*i_AmountAS2))</f>
        <v>#N/A</v>
      </c>
      <c r="H21" s="148" t="e">
        <f>IF(ISBLANK(INDEX(ay_OpExAOEM,MATCH(sys_KeyOperator&amp;"Protected Body",key_AOEM,0),10)),10^(INDEX(ay_OpExAOEM,MATCH(sys_KeyOperator&amp;"Protected Body",key_AOEM,0),7)+(LOG(i_AmountAS3)*INDEX(ay_OpExAOEM,MATCH(sys_KeyOperator&amp;"Protected Body",key_AOEM,0),8))+INDEX(ay_OpExAOEM,MATCH(sys_KeyOperator&amp;"Protected Body",key_AOEM,0),9)),MAX(INDEX(ay_OpExAOEM,MATCH(sys_KeyOperator&amp;"Protected Body",key_AOEM,0),10),(INDEX(ay_OpExAOEM,MATCH(sys_KeyOperator&amp;"Protected Body",key_AOEM,0),10)/1.5)*i_AmountAS3))</f>
        <v>#N/A</v>
      </c>
      <c r="I21" s="149" t="e">
        <f>IF(ISBLANK(INDEX(ay_OpExAOEM,MATCH(sys_KeyOperator&amp;"Protected Body",key_AOEM,0),14)), 10^(INDEX(ay_OpExAOEM,MATCH(sys_KeyOperator&amp;"Protected Body",key_AOEM,0),11) +(LOG(i_AmountAS3)*INDEX(ay_OpExAOEM,MATCH(sys_KeyOperator&amp;"Protected Body",key_AOEM,0),12)) +INDEX(ay_OpExAOEM,MATCH(sys_KeyOperator&amp;"Protected Body",key_AOEM,0),13)),MAX(INDEX(ay_OpExAOEM,MATCH(sys_KeyOperator&amp;"Protected Body",key_AOEM,0),14),(INDEX(ay_OpExAOEM,MATCH(sys_KeyOperator&amp;"Protected Body",key_AOEM,0),14) /1.5)*i_AmountAS3))</f>
        <v>#N/A</v>
      </c>
      <c r="J21" s="148" t="e">
        <f>IF(ISBLANK(INDEX(ay_OpExAOEM,MATCH(sys_KeyOperator&amp;"Protected Body",key_AOEM,0),10)),10^(INDEX(ay_OpExAOEM,MATCH(sys_KeyOperator&amp;"Protected Body",key_AOEM,0),7)+(LOG(i_AmountAS4)*INDEX(ay_OpExAOEM,MATCH(sys_KeyOperator&amp;"Protected Body",key_AOEM,0),8))+INDEX(ay_OpExAOEM,MATCH(sys_KeyOperator&amp;"Protected Body",key_AOEM,0),9)),MAX(INDEX(ay_OpExAOEM,MATCH(sys_KeyOperator&amp;"Protected Body",key_AOEM,0),10),(INDEX(ay_OpExAOEM,MATCH(sys_KeyOperator&amp;"Protected Body",key_AOEM,0),10)/1.5)*i_AmountAS4))</f>
        <v>#N/A</v>
      </c>
      <c r="K21" s="149" t="e">
        <f>IF(ISBLANK(INDEX(ay_OpExAOEM,MATCH(sys_KeyOperator&amp;"Protected Body",key_AOEM,0),14)), 10^(INDEX(ay_OpExAOEM,MATCH(sys_KeyOperator&amp;"Protected Body",key_AOEM,0),11) +(LOG(i_AmountAS4)*INDEX(ay_OpExAOEM,MATCH(sys_KeyOperator&amp;"Protected Body",key_AOEM,0),12)) +INDEX(ay_OpExAOEM,MATCH(sys_KeyOperator&amp;"Protected Body",key_AOEM,0),13)),MAX(INDEX(ay_OpExAOEM,MATCH(sys_KeyOperator&amp;"Protected Body",key_AOEM,0),14),(INDEX(ay_OpExAOEM,MATCH(sys_KeyOperator&amp;"Protected Body",key_AOEM,0),14) /1.5)*i_AmountAS4))</f>
        <v>#N/A</v>
      </c>
      <c r="L21" s="145" t="s">
        <v>419</v>
      </c>
      <c r="M21" s="36"/>
    </row>
    <row r="22" spans="1:23" ht="44.25" customHeight="1" thickBot="1">
      <c r="A22" s="27"/>
      <c r="B22" s="872"/>
      <c r="C22" s="140" t="s">
        <v>423</v>
      </c>
      <c r="D22" s="148" t="e">
        <f>IF(ISBLANK(INDEX(ay_OpExAOEM,MATCH(sys_KeyOperator&amp;"Head",key_AOEM,0),10)),10^(INDEX(ay_OpExAOEM,MATCH(sys_KeyOperator&amp;"Head",key_AOEM,0),7)+(LOG(i_AmountAS1)*INDEX(ay_OpExAOEM,MATCH(sys_KeyOperator&amp;"Head",key_AOEM,0),8))+INDEX(ay_OpExAOEM,MATCH(sys_KeyOperator&amp;"Head",key_AOEM,0),9)+ d_head75ProtectionFactor),MAX(INDEX(ay_OpExAOEM,MATCH(sys_KeyOperator&amp;"Head",key_AOEM,0),10),(INDEX(ay_OpExAOEM,MATCH(sys_KeyOperator&amp;"Head",key_AOEM,0),10)/1.5)*i_AmountAS1))*IF(ISNUMBER(Hole_F25),Hole_F25,1)</f>
        <v>#N/A</v>
      </c>
      <c r="E22" s="149" t="e">
        <f>IF(ISBLANK(INDEX(ay_OpExAOEM,MATCH(sys_KeyOperator&amp;"Head",key_AOEM,0),14)), 10^(INDEX(ay_OpExAOEM,MATCH(sys_KeyOperator&amp;"Head",key_AOEM,0),11) +(LOG(i_AmountAS1)*INDEX(ay_OpExAOEM,MATCH(sys_KeyOperator&amp;"Head",key_AOEM,0),12)) +INDEX(ay_OpExAOEM,MATCH(sys_KeyOperator&amp;"Head",key_AOEM,0),13)+ d_head95ProtectionFactor),MAX(INDEX(ay_OpExAOEM,MATCH(sys_KeyOperator&amp;"Head",key_AOEM,0),14),(INDEX(ay_OpExAOEM,MATCH(sys_KeyOperator&amp;"Head",key_AOEM,0),14) /1.5)*i_AmountAS1))*IF(ISNUMBER(Hole_F25),Hole_F25,1)</f>
        <v>#N/A</v>
      </c>
      <c r="F22" s="148" t="e">
        <f>IF(ISBLANK(INDEX(ay_OpExAOEM,MATCH(sys_KeyOperator&amp;"Head",key_AOEM,0),10)),10^(INDEX(ay_OpExAOEM,MATCH(sys_KeyOperator&amp;"Head",key_AOEM,0),7)+(LOG(i_AmountAS2)*INDEX(ay_OpExAOEM,MATCH(sys_KeyOperator&amp;"Head",key_AOEM,0),8))+INDEX(ay_OpExAOEM,MATCH(sys_KeyOperator&amp;"Head",key_AOEM,0),9)  + d_head75ProtectionFactor  ),MAX(INDEX(ay_OpExAOEM,MATCH(sys_KeyOperator&amp;"Head",key_AOEM,0),10),(INDEX(ay_OpExAOEM,MATCH(sys_KeyOperator&amp;"Head",key_AOEM,0),10)/1.5)*i_AmountAS2))*IF(ISNUMBER(Hole_F25),Hole_F25,1)</f>
        <v>#N/A</v>
      </c>
      <c r="G22" s="149" t="e">
        <f>IF(ISBLANK(INDEX(ay_OpExAOEM,MATCH(sys_KeyOperator&amp;"Head",key_AOEM,0),14)), 10^(INDEX(ay_OpExAOEM,MATCH(sys_KeyOperator&amp;"Head",key_AOEM,0),11) +(LOG(i_AmountAS2)*INDEX(ay_OpExAOEM,MATCH(sys_KeyOperator&amp;"Head",key_AOEM,0),12)) +INDEX(ay_OpExAOEM,MATCH(sys_KeyOperator&amp;"Head",key_AOEM,0),13)+ d_head95ProtectionFactor),MAX(INDEX(ay_OpExAOEM,MATCH(sys_KeyOperator&amp;"Head",key_AOEM,0),14),(INDEX(ay_OpExAOEM,MATCH(sys_KeyOperator&amp;"Head",key_AOEM,0),14) /1.5)*i_AmountAS2))*IF(ISNUMBER(Hole_F25),Hole_F25,1)</f>
        <v>#N/A</v>
      </c>
      <c r="H22" s="148" t="e">
        <f>IF(ISBLANK(INDEX(ay_OpExAOEM,MATCH(sys_KeyOperator&amp;"Head",key_AOEM,0),10)),10^(INDEX(ay_OpExAOEM,MATCH(sys_KeyOperator&amp;"Head",key_AOEM,0),7)+(LOG(i_AmountAS3)*INDEX(ay_OpExAOEM,MATCH(sys_KeyOperator&amp;"Head",key_AOEM,0),8))+INDEX(ay_OpExAOEM,MATCH(sys_KeyOperator&amp;"Head",key_AOEM,0),9)  + d_head75ProtectionFactor  ),MAX(INDEX(ay_OpExAOEM,MATCH(sys_KeyOperator&amp;"Head",key_AOEM,0),10),(INDEX(ay_OpExAOEM,MATCH(sys_KeyOperator&amp;"Head",key_AOEM,0),10)/1.5)*i_AmountAS3))*IF(ISNUMBER(Hole_F25),Hole_F25,1)</f>
        <v>#N/A</v>
      </c>
      <c r="I22" s="149" t="e">
        <f>IF(ISBLANK(INDEX(ay_OpExAOEM,MATCH(sys_KeyOperator&amp;"Head",key_AOEM,0),14)), 10^(INDEX(ay_OpExAOEM,MATCH(sys_KeyOperator&amp;"Head",key_AOEM,0),11) +(LOG(i_AmountAS3)*INDEX(ay_OpExAOEM,MATCH(sys_KeyOperator&amp;"Head",key_AOEM,0),12)) +INDEX(ay_OpExAOEM,MATCH(sys_KeyOperator&amp;"Head",key_AOEM,0),13)+ d_head95ProtectionFactor),MAX(INDEX(ay_OpExAOEM,MATCH(sys_KeyOperator&amp;"Head",key_AOEM,0),14),(INDEX(ay_OpExAOEM,MATCH(sys_KeyOperator&amp;"Head",key_AOEM,0),14) /1.5)*i_AmountAS3))*IF(ISNUMBER(Hole_F25),Hole_F25,1)</f>
        <v>#N/A</v>
      </c>
      <c r="J22" s="148" t="e">
        <f>IF(ISBLANK(INDEX(ay_OpExAOEM,MATCH(sys_KeyOperator&amp;"Head",key_AOEM,0),10)),10^(INDEX(ay_OpExAOEM,MATCH(sys_KeyOperator&amp;"Head",key_AOEM,0),7)+(LOG(i_AmountAS4)*INDEX(ay_OpExAOEM,MATCH(sys_KeyOperator&amp;"Head",key_AOEM,0),8))+INDEX(ay_OpExAOEM,MATCH(sys_KeyOperator&amp;"Head",key_AOEM,0),9)  + d_head75ProtectionFactor  ),MAX(INDEX(ay_OpExAOEM,MATCH(sys_KeyOperator&amp;"Head",key_AOEM,0),10),(INDEX(ay_OpExAOEM,MATCH(sys_KeyOperator&amp;"Head",key_AOEM,0),10)/1.5)*i_AmountAS4))*IF(ISNUMBER(Hole_F25),Hole_F25,1)</f>
        <v>#N/A</v>
      </c>
      <c r="K22" s="149" t="e">
        <f>IF(ISBLANK(INDEX(ay_OpExAOEM,MATCH(sys_KeyOperator&amp;"Head",key_AOEM,0),14)), 10^(INDEX(ay_OpExAOEM,MATCH(sys_KeyOperator&amp;"Head",key_AOEM,0),11) +(LOG(i_AmountAS4)*INDEX(ay_OpExAOEM,MATCH(sys_KeyOperator&amp;"Head",key_AOEM,0),12)) +INDEX(ay_OpExAOEM,MATCH(sys_KeyOperator&amp;"Head",key_AOEM,0),13)+ d_head95ProtectionFactor),MAX(INDEX(ay_OpExAOEM,MATCH(sys_KeyOperator&amp;"Head",key_AOEM,0),14),(INDEX(ay_OpExAOEM,MATCH(sys_KeyOperator&amp;"Head",key_AOEM,0),14) /1.5)*i_AmountAS4))*IF(ISNUMBER(Hole_F25),Hole_F25,1)</f>
        <v>#N/A</v>
      </c>
      <c r="L22" s="145" t="s">
        <v>419</v>
      </c>
      <c r="M22" s="36"/>
    </row>
    <row r="23" spans="1:23" ht="20.25" customHeight="1" thickBot="1">
      <c r="A23" s="27"/>
      <c r="B23" s="872"/>
      <c r="C23" s="142" t="s">
        <v>109</v>
      </c>
      <c r="D23" s="159" t="e">
        <f>IF(ISBLANK(INDEX(ay_OpExAOEM,MATCH(sys_KeyOperator&amp;"Inhalation",key_AOEM,0),10)),10^(INDEX(ay_OpExAOEM,MATCH(sys_KeyOperator&amp;"Inhalation",key_AOEM,0),7)+(LOG(i_AmountAS1)*INDEX(ay_OpExAOEM,MATCH(sys_KeyOperator&amp;"Inhalation",key_AOEM,0),8))+INDEX(ay_OpExAOEM,MATCH(sys_KeyOperator&amp;"Inhalation",key_AOEM,0),9)),MAX(INDEX(ay_OpExAOEM,MATCH(sys_KeyOperator&amp;"Inhalation",key_AOEM,0),10),(INDEX(ay_OpExAOEM,MATCH(sys_KeyOperator&amp;"Inhalation",key_AOEM,0),10)/1.5)*i_AmountAS1))</f>
        <v>#N/A</v>
      </c>
      <c r="E23" s="160" t="e">
        <f>IF(ISBLANK(INDEX(ay_OpExAOEM,MATCH(sys_KeyOperator&amp;"Inhalation",key_AOEM,0),14)), 10^(INDEX(ay_OpExAOEM,MATCH(sys_KeyOperator&amp;"Inhalation",key_AOEM,0),11) +(LOG(i_AmountAS1)*INDEX(ay_OpExAOEM,MATCH(sys_KeyOperator&amp;"Inhalation",key_AOEM,0),12)) +INDEX(ay_OpExAOEM,MATCH(sys_KeyOperator&amp;"Inhalation",key_AOEM,0),13)),MAX(INDEX(ay_OpExAOEM,MATCH(sys_KeyOperator&amp;"Inhalation",key_AOEM,0),14),(INDEX(ay_OpExAOEM,MATCH(sys_KeyOperator&amp;"Inhalation",key_AOEM,0),14) /1.5)*i_AmountAS1))</f>
        <v>#N/A</v>
      </c>
      <c r="F23" s="159" t="e">
        <f>IF(ISBLANK(INDEX(ay_OpExAOEM,MATCH(sys_KeyOperator&amp;"Inhalation",key_AOEM,0),10)),10^(INDEX(ay_OpExAOEM,MATCH(sys_KeyOperator&amp;"Inhalation",key_AOEM,0),7)+(LOG(i_AmountAS2)*INDEX(ay_OpExAOEM,MATCH(sys_KeyOperator&amp;"Inhalation",key_AOEM,0),8))+INDEX(ay_OpExAOEM,MATCH(sys_KeyOperator&amp;"Inhalation",key_AOEM,0),9)),MAX(INDEX(ay_OpExAOEM,MATCH(sys_KeyOperator&amp;"Inhalation",key_AOEM,0),10),(INDEX(ay_OpExAOEM,MATCH(sys_KeyOperator&amp;"Inhalation",key_AOEM,0),10)/1.5)*i_AmountAS2))</f>
        <v>#N/A</v>
      </c>
      <c r="G23" s="160" t="e">
        <f>IF(ISBLANK(INDEX(ay_OpExAOEM,MATCH(sys_KeyOperator&amp;"Inhalation",key_AOEM,0),14)), 10^(INDEX(ay_OpExAOEM,MATCH(sys_KeyOperator&amp;"Inhalation",key_AOEM,0),11) +(LOG(i_AmountAS2)*INDEX(ay_OpExAOEM,MATCH(sys_KeyOperator&amp;"Inhalation",key_AOEM,0),12)) +INDEX(ay_OpExAOEM,MATCH(sys_KeyOperator&amp;"Inhalation",key_AOEM,0),13)),MAX(INDEX(ay_OpExAOEM,MATCH(sys_KeyOperator&amp;"Inhalation",key_AOEM,0),14),(INDEX(ay_OpExAOEM,MATCH(sys_KeyOperator&amp;"Inhalation",key_AOEM,0),14) /1.5)*i_AmountAS2))</f>
        <v>#N/A</v>
      </c>
      <c r="H23" s="159" t="e">
        <f>IF(ISBLANK(INDEX(ay_OpExAOEM,MATCH(sys_KeyOperator&amp;"Inhalation",key_AOEM,0),10)),10^(INDEX(ay_OpExAOEM,MATCH(sys_KeyOperator&amp;"Inhalation",key_AOEM,0),7)+(LOG(i_AmountAS3)*INDEX(ay_OpExAOEM,MATCH(sys_KeyOperator&amp;"Inhalation",key_AOEM,0),8))+INDEX(ay_OpExAOEM,MATCH(sys_KeyOperator&amp;"Inhalation",key_AOEM,0),9)),MAX(INDEX(ay_OpExAOEM,MATCH(sys_KeyOperator&amp;"Inhalation",key_AOEM,0),10),(INDEX(ay_OpExAOEM,MATCH(sys_KeyOperator&amp;"Inhalation",key_AOEM,0),10)/1.5)*i_AmountAS3))</f>
        <v>#N/A</v>
      </c>
      <c r="I23" s="160" t="e">
        <f>IF(ISBLANK(INDEX(ay_OpExAOEM,MATCH(sys_KeyOperator&amp;"Inhalation",key_AOEM,0),14)), 10^(INDEX(ay_OpExAOEM,MATCH(sys_KeyOperator&amp;"Inhalation",key_AOEM,0),11) +(LOG(i_AmountAS3)*INDEX(ay_OpExAOEM,MATCH(sys_KeyOperator&amp;"Inhalation",key_AOEM,0),12)) +INDEX(ay_OpExAOEM,MATCH(sys_KeyOperator&amp;"Inhalation",key_AOEM,0),13)),MAX(INDEX(ay_OpExAOEM,MATCH(sys_KeyOperator&amp;"Inhalation",key_AOEM,0),14),(INDEX(ay_OpExAOEM,MATCH(sys_KeyOperator&amp;"Inhalation",key_AOEM,0),14) /1.5)*i_AmountAS3))</f>
        <v>#N/A</v>
      </c>
      <c r="J23" s="159" t="e">
        <f>IF(ISBLANK(INDEX(ay_OpExAOEM,MATCH(sys_KeyOperator&amp;"Inhalation",key_AOEM,0),10)),10^(INDEX(ay_OpExAOEM,MATCH(sys_KeyOperator&amp;"Inhalation",key_AOEM,0),7)+(LOG(i_AmountAS4)*INDEX(ay_OpExAOEM,MATCH(sys_KeyOperator&amp;"Inhalation",key_AOEM,0),8))+INDEX(ay_OpExAOEM,MATCH(sys_KeyOperator&amp;"Inhalation",key_AOEM,0),9)),MAX(INDEX(ay_OpExAOEM,MATCH(sys_KeyOperator&amp;"Inhalation",key_AOEM,0),10),(INDEX(ay_OpExAOEM,MATCH(sys_KeyOperator&amp;"Inhalation",key_AOEM,0),10)/1.5)*i_AmountAS4))</f>
        <v>#N/A</v>
      </c>
      <c r="K23" s="160" t="e">
        <f>IF(ISBLANK(INDEX(ay_OpExAOEM,MATCH(sys_KeyOperator&amp;"Inhalation",key_AOEM,0),14)), 10^(INDEX(ay_OpExAOEM,MATCH(sys_KeyOperator&amp;"Inhalation",key_AOEM,0),11) +(LOG(i_AmountAS4)*INDEX(ay_OpExAOEM,MATCH(sys_KeyOperator&amp;"Inhalation",key_AOEM,0),12)) +INDEX(ay_OpExAOEM,MATCH(sys_KeyOperator&amp;"Inhalation",key_AOEM,0),13)),MAX(INDEX(ay_OpExAOEM,MATCH(sys_KeyOperator&amp;"Inhalation",key_AOEM,0),14),(INDEX(ay_OpExAOEM,MATCH(sys_KeyOperator&amp;"Inhalation",key_AOEM,0),14) /1.5)*i_AmountAS4))</f>
        <v>#N/A</v>
      </c>
      <c r="L23" s="162" t="s">
        <v>419</v>
      </c>
      <c r="M23" s="646"/>
    </row>
    <row r="24" spans="1:23" ht="15.75" thickBot="1">
      <c r="A24" s="27"/>
      <c r="B24" s="872"/>
      <c r="C24" s="335" t="s">
        <v>424</v>
      </c>
      <c r="D24" s="878" t="s">
        <v>425</v>
      </c>
      <c r="E24" s="879"/>
      <c r="F24" s="279"/>
      <c r="G24" s="280"/>
      <c r="H24" s="280"/>
      <c r="I24" s="280"/>
      <c r="J24" s="280"/>
      <c r="K24" s="316"/>
      <c r="L24" s="165" t="s">
        <v>426</v>
      </c>
      <c r="M24" s="645" t="s">
        <v>427</v>
      </c>
    </row>
    <row r="25" spans="1:23" ht="15.75" thickBot="1">
      <c r="A25" s="27"/>
      <c r="B25" s="872"/>
      <c r="C25" s="141" t="s">
        <v>428</v>
      </c>
      <c r="D25" s="853" t="str">
        <f>'Operator Spray'!D25</f>
        <v>No</v>
      </c>
      <c r="E25" s="854"/>
      <c r="F25" s="281"/>
      <c r="G25" s="31"/>
      <c r="H25" s="31"/>
      <c r="I25" s="31"/>
      <c r="J25" s="31"/>
      <c r="K25" s="163"/>
      <c r="L25" s="168" t="str">
        <f>IF(D25="Yes","Incl. in AOEM model","")</f>
        <v/>
      </c>
      <c r="M25" s="37"/>
    </row>
    <row r="26" spans="1:23" ht="30.75" customHeight="1" thickBot="1">
      <c r="A26" s="27"/>
      <c r="B26" s="872"/>
      <c r="C26" s="138" t="s">
        <v>429</v>
      </c>
      <c r="D26" s="853" t="str">
        <f>'Operator Spray'!D26</f>
        <v>Work wear - arms, body and legs covered</v>
      </c>
      <c r="E26" s="854"/>
      <c r="F26" s="281"/>
      <c r="G26" s="31"/>
      <c r="H26" s="31"/>
      <c r="I26" s="31"/>
      <c r="J26" s="31"/>
      <c r="K26" s="163"/>
      <c r="L26" s="168" t="s">
        <v>430</v>
      </c>
      <c r="M26" s="37"/>
    </row>
    <row r="27" spans="1:23" ht="30" customHeight="1" thickBot="1">
      <c r="A27" s="27"/>
      <c r="B27" s="872"/>
      <c r="C27" s="284" t="s">
        <v>431</v>
      </c>
      <c r="D27" s="853" t="str">
        <f>'Operator Spray'!D27</f>
        <v>None</v>
      </c>
      <c r="E27" s="854"/>
      <c r="F27" s="281"/>
      <c r="G27" s="31"/>
      <c r="H27" s="31"/>
      <c r="I27" s="31"/>
      <c r="J27" s="31"/>
      <c r="K27" s="163"/>
      <c r="L27" s="166">
        <f>IF(AND(i_AppEquip="Manual-Hand held",D27="Hood and visor"),"Incl. in AOEM model",INDEX(ay_MixPPEHead,MATCH(D27,key_MixPPEHead,0),2))</f>
        <v>1</v>
      </c>
      <c r="M27" s="167">
        <f>IF(OR(D27="Hood and visor",D27="Hood"),1,INDEX(ay_MixRPE,MATCH(D27,key_MixRPE,0),2))</f>
        <v>1</v>
      </c>
    </row>
    <row r="28" spans="1:23" ht="15.75" thickBot="1">
      <c r="A28" s="27"/>
      <c r="B28" s="872"/>
      <c r="C28" s="142" t="s">
        <v>432</v>
      </c>
      <c r="D28" s="853" t="str">
        <f>'Operator Spray'!D28</f>
        <v>No</v>
      </c>
      <c r="E28" s="854"/>
      <c r="F28" s="282"/>
      <c r="G28" s="283"/>
      <c r="H28" s="283"/>
      <c r="I28" s="283"/>
      <c r="J28" s="283"/>
      <c r="K28" s="164"/>
      <c r="L28" s="166">
        <f>IF(AND(D28="Yes"),0.1,1)</f>
        <v>1</v>
      </c>
      <c r="M28" s="39"/>
    </row>
    <row r="29" spans="1:23" ht="19.5" thickBot="1">
      <c r="A29" s="27"/>
      <c r="B29" s="871" t="s">
        <v>366</v>
      </c>
      <c r="C29" s="278"/>
      <c r="D29" s="873">
        <f>i_SubstName1</f>
        <v>0</v>
      </c>
      <c r="E29" s="874"/>
      <c r="F29" s="873">
        <f>i_SubstName2</f>
        <v>0</v>
      </c>
      <c r="G29" s="874"/>
      <c r="H29" s="873">
        <f>i_SubstName3</f>
        <v>0</v>
      </c>
      <c r="I29" s="874"/>
      <c r="J29" s="873">
        <f>i_SubstName4</f>
        <v>0</v>
      </c>
      <c r="K29" s="874"/>
      <c r="L29" s="278"/>
      <c r="M29" s="64"/>
    </row>
    <row r="30" spans="1:23" ht="15" customHeight="1" thickBot="1">
      <c r="A30" s="27"/>
      <c r="B30" s="871"/>
      <c r="C30" s="875" t="s">
        <v>413</v>
      </c>
      <c r="D30" s="877" t="s">
        <v>433</v>
      </c>
      <c r="E30" s="863"/>
      <c r="F30" s="877" t="s">
        <v>433</v>
      </c>
      <c r="G30" s="863"/>
      <c r="H30" s="861" t="s">
        <v>433</v>
      </c>
      <c r="I30" s="863"/>
      <c r="J30" s="877" t="s">
        <v>433</v>
      </c>
      <c r="K30" s="863"/>
      <c r="L30" s="861" t="s">
        <v>415</v>
      </c>
      <c r="M30" s="863" t="s">
        <v>416</v>
      </c>
    </row>
    <row r="31" spans="1:23" ht="32.25" customHeight="1" thickBot="1">
      <c r="A31" s="27"/>
      <c r="B31" s="871"/>
      <c r="C31" s="876"/>
      <c r="D31" s="169" t="s">
        <v>145</v>
      </c>
      <c r="E31" s="170" t="s">
        <v>417</v>
      </c>
      <c r="F31" s="169" t="s">
        <v>145</v>
      </c>
      <c r="G31" s="170" t="s">
        <v>417</v>
      </c>
      <c r="H31" s="171" t="s">
        <v>145</v>
      </c>
      <c r="I31" s="170" t="s">
        <v>417</v>
      </c>
      <c r="J31" s="169" t="s">
        <v>145</v>
      </c>
      <c r="K31" s="170" t="s">
        <v>417</v>
      </c>
      <c r="L31" s="862"/>
      <c r="M31" s="864"/>
    </row>
    <row r="32" spans="1:23" ht="21" customHeight="1" thickBot="1">
      <c r="A32" s="27"/>
      <c r="B32" s="871"/>
      <c r="C32" s="172" t="s">
        <v>418</v>
      </c>
      <c r="D32" s="173" t="e">
        <f>IF(ISBLANK(INDEX(ay_OpExAOEM,MATCH(sys_KeyOperator&amp;"Hands",key_AOEM,0),18)),10^(INDEX(ay_OpExAOEM,MATCH(sys_KeyOperator&amp;"Hands",key_AOEM,0),15)+(LOG(0.9*i_AmountAS1)*INDEX(ay_OpExAOEM,MATCH(sys_KeyOperator&amp;"Hands",key_AOEM,0),16))+  IF(AND(i_AppMeth="Upward spraying",LEFT(i_AppEquip,15)="Vehicle-mounted",d_AppPfCaBfR = "Yes"),0,IF(AND(i_Season = "late (dense foliage)",i_AppMeth="Upward spraying",OR(i_AppEquip="Manual-Hand held",i_AppEquip="Manual-Knapsack")),0,INDEX(ay_OpExAOEM,MATCH(sys_KeyOperator&amp;"Hands",key_AOEM,0),17)))   ),MAX(INDEX(ay_OpExAOEM,MATCH(sys_KeyOperator&amp;"Hands",key_AOEM,0),18),(INDEX(ay_OpExAOEM,MATCH(sys_KeyOperator&amp;"Hands",key_AOEM,0),18)/d_PctExtrapolation)*0.9*i_AmountAS1))</f>
        <v>#N/A</v>
      </c>
      <c r="E32" s="174" t="e">
        <f>IF(ISBLANK(INDEX(ay_OpExAOEM,MATCH(sys_KeyOperator&amp;"Hands",key_AOEM,0),22)),10^(INDEX(ay_OpExAOEM,MATCH(sys_KeyOperator&amp;"Hands",key_AOEM,0),19)+(LOG(0.9*i_AmountAS1)*INDEX(ay_OpExAOEM,MATCH(sys_KeyOperator&amp;"Hands",key_AOEM,0),20))+  IF(AND(i_AppMeth="Upward spraying",LEFT(i_AppEquip,15)="Vehicle-mounted",d_AppPfCaBfR = "Yes"),0,IF(AND(i_Season = "late (dense foliage)",i_AppMeth="Upward spraying",OR(i_AppEquip="Manual-Hand held",i_AppEquip="Manual-Knapsack")),0,INDEX(ay_OpExAOEM,MATCH(sys_KeyOperator&amp;"Hands",key_AOEM,0),21)))   ),MAX(INDEX(ay_OpExAOEM,MATCH(sys_KeyOperator&amp;"Hands",key_AOEM,0),22),(INDEX(ay_OpExAOEM,MATCH(sys_KeyOperator&amp;"Hands",key_AOEM,0),22)/d_PctExtrapolation)*0.9*i_AmountAS1))</f>
        <v>#N/A</v>
      </c>
      <c r="F32" s="173" t="e">
        <f>IF(ISBLANK(INDEX(ay_OpExAOEM,MATCH(sys_KeyOperator&amp;"Hands",key_AOEM,0),18)),10^(INDEX(ay_OpExAOEM,MATCH(sys_KeyOperator&amp;"Hands",key_AOEM,0),15)+(LOG(0.9*i_AmountAS2)*INDEX(ay_OpExAOEM,MATCH(sys_KeyOperator&amp;"Hands",key_AOEM,0),16))+  IF(AND(i_AppMeth="Upward spraying",LEFT(i_AppEquip,15)="Vehicle-mounted",d_AppPfCaBfR = "Yes"),0,IF(AND(i_Season = "late (dense foliage)",i_AppMeth="Upward spraying",OR(i_AppEquip="Manual-Hand held",i_AppEquip="Manual-Knapsack")),0,INDEX(ay_OpExAOEM,MATCH(sys_KeyOperator&amp;"Hands",key_AOEM,0),17)))   ),MAX(INDEX(ay_OpExAOEM,MATCH(sys_KeyOperator&amp;"Hands",key_AOEM,0),18),(INDEX(ay_OpExAOEM,MATCH(sys_KeyOperator&amp;"Hands",key_AOEM,0),18)/d_PctExtrapolation)*0.9*i_AmountAS2))</f>
        <v>#N/A</v>
      </c>
      <c r="G32" s="174" t="e">
        <f>IF(ISBLANK(INDEX(ay_OpExAOEM,MATCH(sys_KeyOperator&amp;"Hands",key_AOEM,0),22)),10^(INDEX(ay_OpExAOEM,MATCH(sys_KeyOperator&amp;"Hands",key_AOEM,0),19)+(LOG(0.9*i_AmountAS2)*INDEX(ay_OpExAOEM,MATCH(sys_KeyOperator&amp;"Hands",key_AOEM,0),20))+  IF(AND(i_AppMeth="Upward spraying",LEFT(i_AppEquip,15)="Vehicle-mounted",d_AppPfCaBfR = "Yes"),0,IF(AND(i_Season = "late (dense foliage)",i_AppMeth="Upward spraying",OR(i_AppEquip="Manual-Hand held",i_AppEquip="Manual-Knapsack")),0,INDEX(ay_OpExAOEM,MATCH(sys_KeyOperator&amp;"Hands",key_AOEM,0),21)))   ),MAX(INDEX(ay_OpExAOEM,MATCH(sys_KeyOperator&amp;"Hands",key_AOEM,0),22),(INDEX(ay_OpExAOEM,MATCH(sys_KeyOperator&amp;"Hands",key_AOEM,0),22)/d_PctExtrapolation)*0.9*i_AmountAS2))</f>
        <v>#N/A</v>
      </c>
      <c r="H32" s="175" t="e">
        <f>IF(ISBLANK(INDEX(ay_OpExAOEM,MATCH(sys_KeyOperator&amp;"Hands",key_AOEM,0),18)),10^(INDEX(ay_OpExAOEM,MATCH(sys_KeyOperator&amp;"Hands",key_AOEM,0),15)+(LOG(0.9*i_AmountAS3)*INDEX(ay_OpExAOEM,MATCH(sys_KeyOperator&amp;"Hands",key_AOEM,0),16))+  IF(AND(i_AppMeth="Upward spraying",LEFT(i_AppEquip,15)="Vehicle-mounted",d_AppPfCaBfR = "Yes"),0,IF(AND(i_Season = "late (dense foliage)",i_AppMeth="Upward spraying",OR(i_AppEquip="Manual-Hand held",i_AppEquip="Manual-Knapsack")),0,INDEX(ay_OpExAOEM,MATCH(sys_KeyOperator&amp;"Hands",key_AOEM,0),17)))   ),MAX(INDEX(ay_OpExAOEM,MATCH(sys_KeyOperator&amp;"Hands",key_AOEM,0),18),(INDEX(ay_OpExAOEM,MATCH(sys_KeyOperator&amp;"Hands",key_AOEM,0),18)/d_PctExtrapolation)*0.9*i_AmountAS3))</f>
        <v>#N/A</v>
      </c>
      <c r="I32" s="174" t="e">
        <f>IF(ISBLANK(INDEX(ay_OpExAOEM,MATCH(sys_KeyOperator&amp;"Hands",key_AOEM,0),22)),10^(INDEX(ay_OpExAOEM,MATCH(sys_KeyOperator&amp;"Hands",key_AOEM,0),19)+(LOG(0.9*i_AmountAS3)*INDEX(ay_OpExAOEM,MATCH(sys_KeyOperator&amp;"Hands",key_AOEM,0),20))+  IF(AND(i_AppMeth="Upward spraying",LEFT(i_AppEquip,15)="Vehicle-mounted",d_AppPfCaBfR = "Yes"),0,IF(AND(i_Season = "late (dense foliage)",i_AppMeth="Upward spraying",OR(i_AppEquip="Manual-Hand held",i_AppEquip="Manual-Knapsack")),0,INDEX(ay_OpExAOEM,MATCH(sys_KeyOperator&amp;"Hands",key_AOEM,0),21)))   ),MAX(INDEX(ay_OpExAOEM,MATCH(sys_KeyOperator&amp;"Hands",key_AOEM,0),22),(INDEX(ay_OpExAOEM,MATCH(sys_KeyOperator&amp;"Hands",key_AOEM,0),22)/d_PctExtrapolation)*0.9*i_AmountAS3))</f>
        <v>#N/A</v>
      </c>
      <c r="J32" s="173" t="e">
        <f>IF(ISBLANK(INDEX(ay_OpExAOEM,MATCH(sys_KeyOperator&amp;"Hands",key_AOEM,0),18)),10^(INDEX(ay_OpExAOEM,MATCH(sys_KeyOperator&amp;"Hands",key_AOEM,0),15)+(LOG(0.9*i_AmountAS4)*INDEX(ay_OpExAOEM,MATCH(sys_KeyOperator&amp;"Hands",key_AOEM,0),16))+  IF(AND(i_AppMeth="Upward spraying",LEFT(i_AppEquip,15)="Vehicle-mounted",d_AppPfCaBfR = "Yes"),0,IF(AND(i_Season = "late (dense foliage)",i_AppMeth="Upward spraying",OR(i_AppEquip="Manual-Hand held",i_AppEquip="Manual-Knapsack")),0,INDEX(ay_OpExAOEM,MATCH(sys_KeyOperator&amp;"Hands",key_AOEM,0),17)))   ),MAX(INDEX(ay_OpExAOEM,MATCH(sys_KeyOperator&amp;"Hands",key_AOEM,0),18),(INDEX(ay_OpExAOEM,MATCH(sys_KeyOperator&amp;"Hands",key_AOEM,0),18)/d_PctExtrapolation)*0.9*i_AmountAS4))</f>
        <v>#N/A</v>
      </c>
      <c r="K32" s="174" t="e">
        <f>IF(ISBLANK(INDEX(ay_OpExAOEM,MATCH(sys_KeyOperator&amp;"Hands",key_AOEM,0),22)),10^(INDEX(ay_OpExAOEM,MATCH(sys_KeyOperator&amp;"Hands",key_AOEM,0),19)+(LOG(0.9*i_AmountAS4)*INDEX(ay_OpExAOEM,MATCH(sys_KeyOperator&amp;"Hands",key_AOEM,0),20))+  IF(AND(i_AppMeth="Upward spraying",LEFT(i_AppEquip,15)="Vehicle-mounted",d_AppPfCaBfR = "Yes"),0,IF(AND(i_Season = "late (dense foliage)",i_AppMeth="Upward spraying",OR(i_AppEquip="Manual-Hand held",i_AppEquip="Manual-Knapsack")),0,INDEX(ay_OpExAOEM,MATCH(sys_KeyOperator&amp;"Hands",key_AOEM,0),21)))   ),MAX(INDEX(ay_OpExAOEM,MATCH(sys_KeyOperator&amp;"Hands",key_AOEM,0),22),(INDEX(ay_OpExAOEM,MATCH(sys_KeyOperator&amp;"Hands",key_AOEM,0),22)/d_PctExtrapolation)*0.9*i_AmountAS4))</f>
        <v>#N/A</v>
      </c>
      <c r="L32" s="176" t="s">
        <v>419</v>
      </c>
      <c r="M32" s="865" t="str">
        <f>IF(AND(d_AreaTreated=10,i_AppMeth="Downward spraying"),IF(i_AppEquip="Vehicle-mounted-Drift Reduction","Small area equipment and drift reduction cannot be selected together - drift reduction has not been applied","This scenario assumes that small area equipment is used"),IF(i_AppMeth="Upward spraying", "No data available for a drift reduction scenario","") )</f>
        <v/>
      </c>
      <c r="S32" s="40"/>
      <c r="W32" s="40"/>
    </row>
    <row r="33" spans="1:23" ht="21" customHeight="1" thickBot="1">
      <c r="A33" s="27"/>
      <c r="B33" s="871"/>
      <c r="C33" s="138" t="s">
        <v>420</v>
      </c>
      <c r="D33" s="148" t="e">
        <f>IF(ISBLANK(INDEX(ay_OpExAOEM,MATCH(sys_KeyOperator&amp;"Body",key_AOEM,0),18)),10^(INDEX(ay_OpExAOEM,MATCH(sys_KeyOperator&amp;"Body",key_AOEM,0),15)+(LOG(0.9*i_AmountAS1)*INDEX(ay_OpExAOEM,MATCH(sys_KeyOperator&amp;"Body",key_AOEM,0),16))+  IF(AND(i_AppMeth="Upward spraying",LEFT(i_AppEquip,15)="Vehicle-mounted",d_AppPfCaBfR = "Yes"),0,IF(AND(i_Season = "late (dense foliage)",i_AppMeth="Upward spraying",OR(i_AppEquip="Manual-Hand held",i_AppEquip="Manual-Knapsack")),0,INDEX(ay_OpExAOEM,MATCH(sys_KeyOperator&amp;"Body",key_AOEM,0),17)))   ),MAX(INDEX(ay_OpExAOEM,MATCH(sys_KeyOperator&amp;"Body",key_AOEM,0),18),(INDEX(ay_OpExAOEM,MATCH(sys_KeyOperator&amp;"Body",key_AOEM,0),18)/d_PctExtrapolation)*0.9*i_AmountAS1))</f>
        <v>#N/A</v>
      </c>
      <c r="E33" s="149" t="e">
        <f>IF(ISBLANK(INDEX(ay_OpExAOEM,MATCH(sys_KeyOperator&amp;"Body",key_AOEM,0),22)),10^(INDEX(ay_OpExAOEM,MATCH(sys_KeyOperator&amp;"Body",key_AOEM,0),19)+(LOG(0.9*i_AmountAS1)*INDEX(ay_OpExAOEM,MATCH(sys_KeyOperator&amp;"Body",key_AOEM,0),20))+  IF(AND(i_AppMeth="Upward spraying",LEFT(i_AppEquip,15)="Vehicle-mounted",d_AppPfCaBfR = "Yes"),0,IF(AND(i_Season = "late (dense foliage)",i_AppMeth="Upward spraying",OR(i_AppEquip="Manual-Hand held",i_AppEquip="Manual-Knapsack")),0,INDEX(ay_OpExAOEM,MATCH(sys_KeyOperator&amp;"Body",key_AOEM,0),21)))   ),MAX(INDEX(ay_OpExAOEM,MATCH(sys_KeyOperator&amp;"Body",key_AOEM,0),22),(INDEX(ay_OpExAOEM,MATCH(sys_KeyOperator&amp;"Body",key_AOEM,0),22)/d_PctExtrapolation)*0.9*i_AmountAS1))</f>
        <v>#N/A</v>
      </c>
      <c r="F33" s="148" t="e">
        <f>IF(ISBLANK(INDEX(ay_OpExAOEM,MATCH(sys_KeyOperator&amp;"Body",key_AOEM,0),18)),10^(INDEX(ay_OpExAOEM,MATCH(sys_KeyOperator&amp;"Body",key_AOEM,0),15)+(LOG(0.9*i_AmountAS2)*INDEX(ay_OpExAOEM,MATCH(sys_KeyOperator&amp;"Body",key_AOEM,0),16))+  IF(AND(i_AppMeth="Upward spraying",LEFT(i_AppEquip,15)="Vehicle-mounted",d_AppPfCaBfR = "Yes"),0,IF(AND(i_Season = "late (dense foliage)",i_AppMeth="Upward spraying",OR(i_AppEquip="Manual-Hand held",i_AppEquip="Manual-Knapsack")),0,INDEX(ay_OpExAOEM,MATCH(sys_KeyOperator&amp;"Body",key_AOEM,0),17)))   ),MAX(INDEX(ay_OpExAOEM,MATCH(sys_KeyOperator&amp;"Body",key_AOEM,0),18),(INDEX(ay_OpExAOEM,MATCH(sys_KeyOperator&amp;"Body",key_AOEM,0),18)/d_PctExtrapolation)*0.9*i_AmountAS2))</f>
        <v>#N/A</v>
      </c>
      <c r="G33" s="149" t="e">
        <f>IF(ISBLANK(INDEX(ay_OpExAOEM,MATCH(sys_KeyOperator&amp;"Body",key_AOEM,0),22)),10^(INDEX(ay_OpExAOEM,MATCH(sys_KeyOperator&amp;"Body",key_AOEM,0),19)+(LOG(0.9*i_AmountAS2)*INDEX(ay_OpExAOEM,MATCH(sys_KeyOperator&amp;"Body",key_AOEM,0),20))+  IF(AND(i_AppMeth="Upward spraying",LEFT(i_AppEquip,15)="Vehicle-mounted",d_AppPfCaBfR = "Yes"),0,IF(AND(i_Season = "late (dense foliage)",i_AppMeth="Upward spraying",OR(i_AppEquip="Manual-Hand held",i_AppEquip="Manual-Knapsack")),0,INDEX(ay_OpExAOEM,MATCH(sys_KeyOperator&amp;"Body",key_AOEM,0),21)))   ),MAX(INDEX(ay_OpExAOEM,MATCH(sys_KeyOperator&amp;"Body",key_AOEM,0),22),(INDEX(ay_OpExAOEM,MATCH(sys_KeyOperator&amp;"Body",key_AOEM,0),22)/d_PctExtrapolation)*0.9*i_AmountAS2))</f>
        <v>#N/A</v>
      </c>
      <c r="H33" s="144" t="e">
        <f>IF(ISBLANK(INDEX(ay_OpExAOEM,MATCH(sys_KeyOperator&amp;"Body",key_AOEM,0),18)),10^(INDEX(ay_OpExAOEM,MATCH(sys_KeyOperator&amp;"Body",key_AOEM,0),15)+(LOG(0.9*i_AmountAS3)*INDEX(ay_OpExAOEM,MATCH(sys_KeyOperator&amp;"Body",key_AOEM,0),16))+  IF(AND(i_AppMeth="Upward spraying",LEFT(i_AppEquip,15)="Vehicle-mounted",d_AppPfCaBfR = "Yes"),0,IF(AND(i_Season = "late (dense foliage)",i_AppMeth="Upward spraying",OR(i_AppEquip="Manual-Hand held",i_AppEquip="Manual-Knapsack")),0,INDEX(ay_OpExAOEM,MATCH(sys_KeyOperator&amp;"Body",key_AOEM,0),17)))   ),MAX(INDEX(ay_OpExAOEM,MATCH(sys_KeyOperator&amp;"Body",key_AOEM,0),18),(INDEX(ay_OpExAOEM,MATCH(sys_KeyOperator&amp;"Body",key_AOEM,0),18)/d_PctExtrapolation)*0.9*i_AmountAS3))</f>
        <v>#N/A</v>
      </c>
      <c r="I33" s="149" t="e">
        <f>IF(ISBLANK(INDEX(ay_OpExAOEM,MATCH(sys_KeyOperator&amp;"Body",key_AOEM,0),22)),10^(INDEX(ay_OpExAOEM,MATCH(sys_KeyOperator&amp;"Body",key_AOEM,0),19)+(LOG(0.9*i_AmountAS3)*INDEX(ay_OpExAOEM,MATCH(sys_KeyOperator&amp;"Body",key_AOEM,0),20))+  IF(AND(i_AppMeth="Upward spraying",LEFT(i_AppEquip,15)="Vehicle-mounted",d_AppPfCaBfR = "Yes"),0,IF(AND(i_Season = "late (dense foliage)",i_AppMeth="Upward spraying",OR(i_AppEquip="Manual-Hand held",i_AppEquip="Manual-Knapsack")),0,INDEX(ay_OpExAOEM,MATCH(sys_KeyOperator&amp;"Body",key_AOEM,0),21)))   ),MAX(INDEX(ay_OpExAOEM,MATCH(sys_KeyOperator&amp;"Body",key_AOEM,0),22),(INDEX(ay_OpExAOEM,MATCH(sys_KeyOperator&amp;"Body",key_AOEM,0),22)/d_PctExtrapolation)*0.9*i_AmountAS3))</f>
        <v>#N/A</v>
      </c>
      <c r="J33" s="148" t="e">
        <f>IF(ISBLANK(INDEX(ay_OpExAOEM,MATCH(sys_KeyOperator&amp;"Body",key_AOEM,0),18)),10^(INDEX(ay_OpExAOEM,MATCH(sys_KeyOperator&amp;"Body",key_AOEM,0),15)+(LOG(0.9*i_AmountAS4)*INDEX(ay_OpExAOEM,MATCH(sys_KeyOperator&amp;"Body",key_AOEM,0),16))+  IF(AND(i_AppMeth="Upward spraying",LEFT(i_AppEquip,15)="Vehicle-mounted",d_AppPfCaBfR = "Yes"),0,IF(AND(i_Season = "late (dense foliage)",i_AppMeth="Upward spraying",OR(i_AppEquip="Manual-Hand held",i_AppEquip="Manual-Knapsack")),0,INDEX(ay_OpExAOEM,MATCH(sys_KeyOperator&amp;"Body",key_AOEM,0),17)))   ),MAX(INDEX(ay_OpExAOEM,MATCH(sys_KeyOperator&amp;"Body",key_AOEM,0),18),(INDEX(ay_OpExAOEM,MATCH(sys_KeyOperator&amp;"Body",key_AOEM,0),18)/d_PctExtrapolation)*0.9*i_AmountAS4))</f>
        <v>#N/A</v>
      </c>
      <c r="K33" s="149" t="e">
        <f>IF(ISBLANK(INDEX(ay_OpExAOEM,MATCH(sys_KeyOperator&amp;"Body",key_AOEM,0),22)),10^(INDEX(ay_OpExAOEM,MATCH(sys_KeyOperator&amp;"Body",key_AOEM,0),19)+(LOG(0.9*i_AmountAS4)*INDEX(ay_OpExAOEM,MATCH(sys_KeyOperator&amp;"Body",key_AOEM,0),20))+  IF(AND(i_AppMeth="Upward spraying",LEFT(i_AppEquip,15)="Vehicle-mounted",d_AppPfCaBfR = "Yes"),0,IF(AND(i_Season = "late (dense foliage)",i_AppMeth="Upward spraying",OR(i_AppEquip="Manual-Hand held",i_AppEquip="Manual-Knapsack")),0,INDEX(ay_OpExAOEM,MATCH(sys_KeyOperator&amp;"Body",key_AOEM,0),21)))   ),MAX(INDEX(ay_OpExAOEM,MATCH(sys_KeyOperator&amp;"Body",key_AOEM,0),22),(INDEX(ay_OpExAOEM,MATCH(sys_KeyOperator&amp;"Body",key_AOEM,0),22)/d_PctExtrapolation)*0.9*i_AmountAS4))</f>
        <v>#N/A</v>
      </c>
      <c r="L33" s="145" t="s">
        <v>419</v>
      </c>
      <c r="M33" s="866"/>
      <c r="S33" s="40"/>
      <c r="W33" s="40"/>
    </row>
    <row r="34" spans="1:23" ht="21" customHeight="1" thickBot="1">
      <c r="A34" s="27"/>
      <c r="B34" s="871"/>
      <c r="C34" s="139" t="s">
        <v>104</v>
      </c>
      <c r="D34" s="148" t="e">
        <f>IF(ISBLANK(INDEX(ay_OpExAOEM,MATCH(sys_KeyOperator&amp;"Head",key_AOEM,0),18)),10^(INDEX(ay_OpExAOEM,MATCH(sys_KeyOperator&amp;"Head",key_AOEM,0),15)+(LOG(0.9*i_AmountAS1)*INDEX(ay_OpExAOEM,MATCH(sys_KeyOperator&amp;"Head",key_AOEM,0),16))+  IF(AND(i_AppMeth="Upward spraying",LEFT(i_AppEquip,15)="Vehicle-mounted",d_AppPfCaBfR = "Yes"),0,IF(AND(i_Season = "late (dense foliage)",i_AppMeth="Upward spraying",OR(i_AppEquip="Manual-Hand held",i_AppEquip="Manual-Knapsack")),0,INDEX(ay_OpExAOEM,MATCH(sys_KeyOperator&amp;"Head",key_AOEM,0),17)))   ),MAX(INDEX(ay_OpExAOEM,MATCH(sys_KeyOperator&amp;"Head",key_AOEM,0),18),(INDEX(ay_OpExAOEM,MATCH(sys_KeyOperator&amp;"Head",key_AOEM,0),18)/d_PctExtrapolation)*0.9*i_AmountAS1))</f>
        <v>#N/A</v>
      </c>
      <c r="E34" s="149" t="e">
        <f>IF(ISBLANK(INDEX(ay_OpExAOEM,MATCH(sys_KeyOperator&amp;"Head",key_AOEM,0),22)),10^(INDEX(ay_OpExAOEM,MATCH(sys_KeyOperator&amp;"Head",key_AOEM,0),19)+(LOG(0.9*i_AmountAS1)*INDEX(ay_OpExAOEM,MATCH(sys_KeyOperator&amp;"Head",key_AOEM,0),20))+  IF(AND(i_AppMeth="Upward spraying",LEFT(i_AppEquip,15)="Vehicle-mounted",d_AppPfCaBfR = "Yes"),0,IF(AND(i_Season = "late (dense foliage)",i_AppMeth="Upward spraying",OR(i_AppEquip="Manual-Hand held",i_AppEquip="Manual-Knapsack")),0,INDEX(ay_OpExAOEM,MATCH(sys_KeyOperator&amp;"Head",key_AOEM,0),21)))   ),MAX(INDEX(ay_OpExAOEM,MATCH(sys_KeyOperator&amp;"Head",key_AOEM,0),22),(INDEX(ay_OpExAOEM,MATCH(sys_KeyOperator&amp;"Head",key_AOEM,0),22)/d_PctExtrapolation)*0.9*i_AmountAS1))</f>
        <v>#N/A</v>
      </c>
      <c r="F34" s="148" t="e">
        <f>IF(ISBLANK(INDEX(ay_OpExAOEM,MATCH(sys_KeyOperator&amp;"Head",key_AOEM,0),18)),10^(INDEX(ay_OpExAOEM,MATCH(sys_KeyOperator&amp;"Head",key_AOEM,0),15)+(LOG(0.9*i_AmountAS2)*INDEX(ay_OpExAOEM,MATCH(sys_KeyOperator&amp;"Head",key_AOEM,0),16))+  IF(AND(i_AppMeth="Upward spraying",LEFT(i_AppEquip,15)="Vehicle-mounted",d_AppPfCaBfR = "Yes"),0,IF(AND(i_Season = "late (dense foliage)",i_AppMeth="Upward spraying",OR(i_AppEquip="Manual-Hand held",i_AppEquip="Manual-Knapsack")),0,INDEX(ay_OpExAOEM,MATCH(sys_KeyOperator&amp;"Head",key_AOEM,0),17)))   ),MAX(INDEX(ay_OpExAOEM,MATCH(sys_KeyOperator&amp;"Head",key_AOEM,0),18),(INDEX(ay_OpExAOEM,MATCH(sys_KeyOperator&amp;"Head",key_AOEM,0),18)/d_PctExtrapolation)*0.9*i_AmountAS2))</f>
        <v>#N/A</v>
      </c>
      <c r="G34" s="149" t="e">
        <f>IF(ISBLANK(INDEX(ay_OpExAOEM,MATCH(sys_KeyOperator&amp;"Head",key_AOEM,0),22)),10^(INDEX(ay_OpExAOEM,MATCH(sys_KeyOperator&amp;"Head",key_AOEM,0),19)+(LOG(0.9*i_AmountAS2)*INDEX(ay_OpExAOEM,MATCH(sys_KeyOperator&amp;"Head",key_AOEM,0),20))+  IF(AND(i_AppMeth="Upward spraying",LEFT(i_AppEquip,15)="Vehicle-mounted",d_AppPfCaBfR = "Yes"),0,IF(AND(i_Season = "late (dense foliage)",i_AppMeth="Upward spraying",OR(i_AppEquip="Manual-Hand held",i_AppEquip="Manual-Knapsack")),0,INDEX(ay_OpExAOEM,MATCH(sys_KeyOperator&amp;"Head",key_AOEM,0),21)))   ),MAX(INDEX(ay_OpExAOEM,MATCH(sys_KeyOperator&amp;"Head",key_AOEM,0),22),(INDEX(ay_OpExAOEM,MATCH(sys_KeyOperator&amp;"Head",key_AOEM,0),22)/d_PctExtrapolation)*0.9*i_AmountAS2))</f>
        <v>#N/A</v>
      </c>
      <c r="H34" s="144" t="e">
        <f>IF(ISBLANK(INDEX(ay_OpExAOEM,MATCH(sys_KeyOperator&amp;"Head",key_AOEM,0),18)),10^(INDEX(ay_OpExAOEM,MATCH(sys_KeyOperator&amp;"Head",key_AOEM,0),15)+(LOG(0.9*i_AmountAS3)*INDEX(ay_OpExAOEM,MATCH(sys_KeyOperator&amp;"Head",key_AOEM,0),16))+  IF(AND(i_AppMeth="Upward spraying",LEFT(i_AppEquip,15)="Vehicle-mounted",d_AppPfCaBfR = "Yes"),0,IF(AND(i_Season = "late (dense foliage)",i_AppMeth="Upward spraying",OR(i_AppEquip="Manual-Hand held",i_AppEquip="Manual-Knapsack")),0,INDEX(ay_OpExAOEM,MATCH(sys_KeyOperator&amp;"Head",key_AOEM,0),17)))   ),MAX(INDEX(ay_OpExAOEM,MATCH(sys_KeyOperator&amp;"Head",key_AOEM,0),18),(INDEX(ay_OpExAOEM,MATCH(sys_KeyOperator&amp;"Head",key_AOEM,0),18)/d_PctExtrapolation)*0.9*i_AmountAS3))</f>
        <v>#N/A</v>
      </c>
      <c r="I34" s="149" t="e">
        <f>IF(ISBLANK(INDEX(ay_OpExAOEM,MATCH(sys_KeyOperator&amp;"Head",key_AOEM,0),22)),10^(INDEX(ay_OpExAOEM,MATCH(sys_KeyOperator&amp;"Head",key_AOEM,0),19)+(LOG(0.9*i_AmountAS3)*INDEX(ay_OpExAOEM,MATCH(sys_KeyOperator&amp;"Head",key_AOEM,0),20))+  IF(AND(i_AppMeth="Upward spraying",LEFT(i_AppEquip,15)="Vehicle-mounted",d_AppPfCaBfR = "Yes"),0,IF(AND(i_Season = "late (dense foliage)",i_AppMeth="Upward spraying",OR(i_AppEquip="Manual-Hand held",i_AppEquip="Manual-Knapsack")),0,INDEX(ay_OpExAOEM,MATCH(sys_KeyOperator&amp;"Head",key_AOEM,0),21)))   ),MAX(INDEX(ay_OpExAOEM,MATCH(sys_KeyOperator&amp;"Head",key_AOEM,0),22),(INDEX(ay_OpExAOEM,MATCH(sys_KeyOperator&amp;"Head",key_AOEM,0),22)/d_PctExtrapolation)*0.9*i_AmountAS3))</f>
        <v>#N/A</v>
      </c>
      <c r="J34" s="148" t="e">
        <f>IF(ISBLANK(INDEX(ay_OpExAOEM,MATCH(sys_KeyOperator&amp;"Head",key_AOEM,0),18)),10^(INDEX(ay_OpExAOEM,MATCH(sys_KeyOperator&amp;"Head",key_AOEM,0),15)+(LOG(0.9*i_AmountAS4)*INDEX(ay_OpExAOEM,MATCH(sys_KeyOperator&amp;"Head",key_AOEM,0),16))+  IF(AND(i_AppMeth="Upward spraying",LEFT(i_AppEquip,15)="Vehicle-mounted",d_AppPfCaBfR = "Yes"),0,IF(AND(i_Season = "late (dense foliage)",i_AppMeth="Upward spraying",OR(i_AppEquip="Manual-Hand held",i_AppEquip="Manual-Knapsack")),0,INDEX(ay_OpExAOEM,MATCH(sys_KeyOperator&amp;"Head",key_AOEM,0),17)))   ),MAX(INDEX(ay_OpExAOEM,MATCH(sys_KeyOperator&amp;"Head",key_AOEM,0),18),(INDEX(ay_OpExAOEM,MATCH(sys_KeyOperator&amp;"Head",key_AOEM,0),18)/d_PctExtrapolation)*0.9*i_AmountAS4))</f>
        <v>#N/A</v>
      </c>
      <c r="K34" s="149" t="e">
        <f>IF(ISBLANK(INDEX(ay_OpExAOEM,MATCH(sys_KeyOperator&amp;"Head",key_AOEM,0),22)),10^(INDEX(ay_OpExAOEM,MATCH(sys_KeyOperator&amp;"Head",key_AOEM,0),19)+(LOG(0.9*i_AmountAS4)*INDEX(ay_OpExAOEM,MATCH(sys_KeyOperator&amp;"Head",key_AOEM,0),20))+  IF(AND(i_AppMeth="Upward spraying",LEFT(i_AppEquip,15)="Vehicle-mounted",d_AppPfCaBfR = "Yes"),0,IF(AND(i_Season = "late (dense foliage)",i_AppMeth="Upward spraying",OR(i_AppEquip="Manual-Hand held",i_AppEquip="Manual-Knapsack")),0,INDEX(ay_OpExAOEM,MATCH(sys_KeyOperator&amp;"Head",key_AOEM,0),21)))   ),MAX(INDEX(ay_OpExAOEM,MATCH(sys_KeyOperator&amp;"Head",key_AOEM,0),22),(INDEX(ay_OpExAOEM,MATCH(sys_KeyOperator&amp;"Head",key_AOEM,0),22)/d_PctExtrapolation)*0.9*i_AmountAS4))</f>
        <v>#N/A</v>
      </c>
      <c r="L34" s="145" t="s">
        <v>419</v>
      </c>
      <c r="M34" s="866"/>
      <c r="S34" s="40"/>
      <c r="W34" s="40"/>
    </row>
    <row r="35" spans="1:23" ht="31.5" customHeight="1" thickBot="1">
      <c r="A35" s="27"/>
      <c r="B35" s="871"/>
      <c r="C35" s="140" t="s">
        <v>421</v>
      </c>
      <c r="D35" s="148" t="e">
        <f>IF(ISBLANK(INDEX(ay_OpExAOEM,MATCH(sys_KeyOperator&amp;"Protected Hands",key_AOEM,0),18)),10^(INDEX(ay_OpExAOEM,MATCH(sys_KeyOperator&amp;"Protected Hands",key_AOEM,0),15)+(LOG(0.9*i_AmountAS1)*INDEX(ay_OpExAOEM,MATCH(sys_KeyOperator&amp;"Protected Hands",key_AOEM,0),16))+  IF(AND(i_AppMeth="Upward spraying",LEFT(i_AppEquip,15)="Vehicle-mounted",d_AppPfCaBfR = "Yes"),0,IF(AND(i_Season = "late (dense foliage)",i_AppMeth="Upward spraying",OR(i_AppEquip="Manual-Hand held",i_AppEquip="Manual-Knapsack")),0,INDEX(ay_OpExAOEM,MATCH(sys_KeyOperator&amp;"Protected Hands",key_AOEM,0),17)))   ),MAX(INDEX(ay_OpExAOEM,MATCH(sys_KeyOperator&amp;"Protected Hands",key_AOEM,0),18),(INDEX(ay_OpExAOEM,MATCH(sys_KeyOperator&amp;"Protected Hands",key_AOEM,0),18)/d_PctExtrapolation)*0.9*i_AmountAS1))</f>
        <v>#N/A</v>
      </c>
      <c r="E35" s="149" t="e">
        <f>IF(ISBLANK(INDEX(ay_OpExAOEM,MATCH(sys_KeyOperator&amp;"Protected Hands",key_AOEM,0),22)),10^(INDEX(ay_OpExAOEM,MATCH(sys_KeyOperator&amp;"Protected Hands",key_AOEM,0),19)+(LOG(0.9*i_AmountAS1)*INDEX(ay_OpExAOEM,MATCH(sys_KeyOperator&amp;"Protected Hands",key_AOEM,0),20))+  IF(AND(i_AppMeth="Upward spraying",LEFT(i_AppEquip,15)="Vehicle-mounted",d_AppPfCaBfR = "Yes"),0,IF(AND(i_Season = "late (dense foliage)",i_AppMeth="Upward spraying",OR(i_AppEquip="Manual-Hand held",i_AppEquip="Manual-Knapsack")),0,INDEX(ay_OpExAOEM,MATCH(sys_KeyOperator&amp;"Protected Hands",key_AOEM,0),21)))   ),MAX(INDEX(ay_OpExAOEM,MATCH(sys_KeyOperator&amp;"Protected Hands",key_AOEM,0),22),(INDEX(ay_OpExAOEM,MATCH(sys_KeyOperator&amp;"Protected Hands",key_AOEM,0),22)/d_PctExtrapolation)*0.9*i_AmountAS1))</f>
        <v>#N/A</v>
      </c>
      <c r="F35" s="148" t="e">
        <f>IF(ISBLANK(INDEX(ay_OpExAOEM,MATCH(sys_KeyOperator&amp;"Protected Hands",key_AOEM,0),18)),10^(INDEX(ay_OpExAOEM,MATCH(sys_KeyOperator&amp;"Protected Hands",key_AOEM,0),15)+(LOG(0.9*i_AmountAS2)*INDEX(ay_OpExAOEM,MATCH(sys_KeyOperator&amp;"Protected Hands",key_AOEM,0),16))+  IF(AND(i_AppMeth="Upward spraying",LEFT(i_AppEquip,15)="Vehicle-mounted",d_AppPfCaBfR = "Yes"),0,IF(AND(i_Season = "late (dense foliage)",i_AppMeth="Upward spraying",OR(i_AppEquip="Manual-Hand held",i_AppEquip="Manual-Knapsack")),0,INDEX(ay_OpExAOEM,MATCH(sys_KeyOperator&amp;"Protected Hands",key_AOEM,0),17)))   ),MAX(INDEX(ay_OpExAOEM,MATCH(sys_KeyOperator&amp;"Protected Hands",key_AOEM,0),18),(INDEX(ay_OpExAOEM,MATCH(sys_KeyOperator&amp;"Protected Hands",key_AOEM,0),18)/d_PctExtrapolation)*0.9*i_AmountAS2))</f>
        <v>#N/A</v>
      </c>
      <c r="G35" s="149" t="e">
        <f>IF(ISBLANK(INDEX(ay_OpExAOEM,MATCH(sys_KeyOperator&amp;"Protected Hands",key_AOEM,0),22)),10^(INDEX(ay_OpExAOEM,MATCH(sys_KeyOperator&amp;"Protected Hands",key_AOEM,0),19)+(LOG(0.9*i_AmountAS2)*INDEX(ay_OpExAOEM,MATCH(sys_KeyOperator&amp;"Protected Hands",key_AOEM,0),20))+  IF(AND(i_AppMeth="Upward spraying",LEFT(i_AppEquip,15)="Vehicle-mounted",d_AppPfCaBfR = "Yes"),0,IF(AND(i_Season = "late (dense foliage)",i_AppMeth="Upward spraying",OR(i_AppEquip="Manual-Hand held",i_AppEquip="Manual-Knapsack")),0,INDEX(ay_OpExAOEM,MATCH(sys_KeyOperator&amp;"Protected Hands",key_AOEM,0),21)))   ),MAX(INDEX(ay_OpExAOEM,MATCH(sys_KeyOperator&amp;"Protected Hands",key_AOEM,0),22),(INDEX(ay_OpExAOEM,MATCH(sys_KeyOperator&amp;"Protected Hands",key_AOEM,0),22)/d_PctExtrapolation)*0.9*i_AmountAS2))</f>
        <v>#N/A</v>
      </c>
      <c r="H35" s="144" t="e">
        <f>IF(ISBLANK(INDEX(ay_OpExAOEM,MATCH(sys_KeyOperator&amp;"Protected Hands",key_AOEM,0),18)),10^(INDEX(ay_OpExAOEM,MATCH(sys_KeyOperator&amp;"Protected Hands",key_AOEM,0),15)+(LOG(0.9*i_AmountAS3)*INDEX(ay_OpExAOEM,MATCH(sys_KeyOperator&amp;"Protected Hands",key_AOEM,0),16))+  IF(AND(i_AppMeth="Upward spraying",LEFT(i_AppEquip,15)="Vehicle-mounted",d_AppPfCaBfR = "Yes"),0,IF(AND(i_Season = "late (dense foliage)",i_AppMeth="Upward spraying",OR(i_AppEquip="Manual-Hand held",i_AppEquip="Manual-Knapsack")),0,INDEX(ay_OpExAOEM,MATCH(sys_KeyOperator&amp;"Protected Hands",key_AOEM,0),17)))   ),MAX(INDEX(ay_OpExAOEM,MATCH(sys_KeyOperator&amp;"Protected Hands",key_AOEM,0),18),(INDEX(ay_OpExAOEM,MATCH(sys_KeyOperator&amp;"Protected Hands",key_AOEM,0),18)/d_PctExtrapolation)*0.9*i_AmountAS3))</f>
        <v>#N/A</v>
      </c>
      <c r="I35" s="149" t="e">
        <f>IF(ISBLANK(INDEX(ay_OpExAOEM,MATCH(sys_KeyOperator&amp;"Protected Hands",key_AOEM,0),22)),10^(INDEX(ay_OpExAOEM,MATCH(sys_KeyOperator&amp;"Protected Hands",key_AOEM,0),19)+(LOG(0.9*i_AmountAS3)*INDEX(ay_OpExAOEM,MATCH(sys_KeyOperator&amp;"Protected Hands",key_AOEM,0),20))+  IF(AND(i_AppMeth="Upward spraying",LEFT(i_AppEquip,15)="Vehicle-mounted",d_AppPfCaBfR = "Yes"),0,IF(AND(i_Season = "late (dense foliage)",i_AppMeth="Upward spraying",OR(i_AppEquip="Manual-Hand held",i_AppEquip="Manual-Knapsack")),0,INDEX(ay_OpExAOEM,MATCH(sys_KeyOperator&amp;"Protected Hands",key_AOEM,0),21)))   ),MAX(INDEX(ay_OpExAOEM,MATCH(sys_KeyOperator&amp;"Protected Hands",key_AOEM,0),22),(INDEX(ay_OpExAOEM,MATCH(sys_KeyOperator&amp;"Protected Hands",key_AOEM,0),22)/d_PctExtrapolation)*0.9*i_AmountAS3))</f>
        <v>#N/A</v>
      </c>
      <c r="J35" s="148" t="e">
        <f>IF(ISBLANK(INDEX(ay_OpExAOEM,MATCH(sys_KeyOperator&amp;"Protected Hands",key_AOEM,0),18)),10^(INDEX(ay_OpExAOEM,MATCH(sys_KeyOperator&amp;"Protected Hands",key_AOEM,0),15)+(LOG(0.9*i_AmountAS4)*INDEX(ay_OpExAOEM,MATCH(sys_KeyOperator&amp;"Protected Hands",key_AOEM,0),16))+  IF(AND(i_AppMeth="Upward spraying",LEFT(i_AppEquip,15)="Vehicle-mounted",d_AppPfCaBfR = "Yes"),0,IF(AND(i_Season = "late (dense foliage)",i_AppMeth="Upward spraying",OR(i_AppEquip="Manual-Hand held",i_AppEquip="Manual-Knapsack")),0,INDEX(ay_OpExAOEM,MATCH(sys_KeyOperator&amp;"Protected Hands",key_AOEM,0),17)))   ),MAX(INDEX(ay_OpExAOEM,MATCH(sys_KeyOperator&amp;"Protected Hands",key_AOEM,0),18),(INDEX(ay_OpExAOEM,MATCH(sys_KeyOperator&amp;"Protected Hands",key_AOEM,0),18)/d_PctExtrapolation)*0.9*i_AmountAS4))</f>
        <v>#N/A</v>
      </c>
      <c r="K35" s="149" t="e">
        <f>IF(ISBLANK(INDEX(ay_OpExAOEM,MATCH(sys_KeyOperator&amp;"Protected Hands",key_AOEM,0),22)),10^(INDEX(ay_OpExAOEM,MATCH(sys_KeyOperator&amp;"Protected Hands",key_AOEM,0),19)+(LOG(0.9*i_AmountAS4)*INDEX(ay_OpExAOEM,MATCH(sys_KeyOperator&amp;"Protected Hands",key_AOEM,0),20))+  IF(AND(i_AppMeth="Upward spraying",LEFT(i_AppEquip,15)="Vehicle-mounted",d_AppPfCaBfR = "Yes"),0,IF(AND(i_Season = "late (dense foliage)",i_AppMeth="Upward spraying",OR(i_AppEquip="Manual-Hand held",i_AppEquip="Manual-Knapsack")),0,INDEX(ay_OpExAOEM,MATCH(sys_KeyOperator&amp;"Protected Hands",key_AOEM,0),21)))   ),MAX(INDEX(ay_OpExAOEM,MATCH(sys_KeyOperator&amp;"Protected Hands",key_AOEM,0),22),(INDEX(ay_OpExAOEM,MATCH(sys_KeyOperator&amp;"Protected Hands",key_AOEM,0),22)/d_PctExtrapolation)*0.9*i_AmountAS4))</f>
        <v>#N/A</v>
      </c>
      <c r="L35" s="145" t="s">
        <v>419</v>
      </c>
      <c r="M35" s="866"/>
      <c r="S35" s="40"/>
      <c r="W35" s="40"/>
    </row>
    <row r="36" spans="1:23" ht="44.25" customHeight="1" thickBot="1">
      <c r="A36" s="27"/>
      <c r="B36" s="871"/>
      <c r="C36" s="140" t="s">
        <v>422</v>
      </c>
      <c r="D36" s="148" t="e">
        <f>IF(ISBLANK(INDEX(ay_OpExAOEM,MATCH(sys_KeyOperator&amp;"Protected Body",key_AOEM,0),18)),10^(INDEX(ay_OpExAOEM,MATCH(sys_KeyOperator&amp;"Protected Body",key_AOEM,0),15)+(LOG(0.9*i_AmountAS1)*INDEX(ay_OpExAOEM,MATCH(sys_KeyOperator&amp;"Protected Body",key_AOEM,0),16))+  IF(AND(i_AppMeth="Upward spraying",LEFT(i_AppEquip,15)="Vehicle-mounted",d_AppPfCaBfR = "Yes"),0,IF(AND(i_Season = "late (dense foliage)",i_AppMeth="Upward spraying",OR(i_AppEquip="Manual-Hand held",i_AppEquip="Manual-Knapsack")),0,INDEX(ay_OpExAOEM,MATCH(sys_KeyOperator&amp;"Protected Body",key_AOEM,0),17)))   ),MAX(INDEX(ay_OpExAOEM,MATCH(sys_KeyOperator&amp;"Protected Body",key_AOEM,0),18),(INDEX(ay_OpExAOEM,MATCH(sys_KeyOperator&amp;"Protected Body",key_AOEM,0),18)/d_PctExtrapolation)*0.9*i_AmountAS1))</f>
        <v>#N/A</v>
      </c>
      <c r="E36" s="149" t="e">
        <f>IF(ISBLANK(INDEX(ay_OpExAOEM,MATCH(sys_KeyOperator&amp;"Protected Body",key_AOEM,0),22)),10^(INDEX(ay_OpExAOEM,MATCH(sys_KeyOperator&amp;"Protected Body",key_AOEM,0),19)++(LOG(0.9*i_AmountAS1)*INDEX(ay_OpExAOEM,MATCH(sys_KeyOperator&amp;"Protected Body",key_AOEM,0),20))+  IF(AND(i_AppMeth="Upward spraying",LEFT(i_AppEquip,15)="Vehicle-mounted",d_AppPfCaBfR = "Yes"),0,IF(AND(i_Season = "late (dense foliage)",i_AppMeth="Upward spraying",OR(i_AppEquip="Manual-Hand held",i_AppEquip="Manual-Knapsack")),0,INDEX(ay_OpExAOEM,MATCH(sys_KeyOperator&amp;"Protected Body",key_AOEM,0),21)))   ),MAX(INDEX(ay_OpExAOEM,MATCH(sys_KeyOperator&amp;"Protected Body",key_AOEM,0),22),(INDEX(ay_OpExAOEM,MATCH(sys_KeyOperator&amp;"Protected Body",key_AOEM,0),22)/d_PctExtrapolation)*0.9*i_AmountAS1))</f>
        <v>#N/A</v>
      </c>
      <c r="F36" s="148" t="e">
        <f>IF(ISBLANK(INDEX(ay_OpExAOEM,MATCH(sys_KeyOperator&amp;"Protected Body",key_AOEM,0),18)),10^(INDEX(ay_OpExAOEM,MATCH(sys_KeyOperator&amp;"Protected Body",key_AOEM,0),15)+(LOG(0.9*i_AmountAS2)*INDEX(ay_OpExAOEM,MATCH(sys_KeyOperator&amp;"Protected Body",key_AOEM,0),16))+  IF(AND(i_AppMeth="Upward spraying",LEFT(i_AppEquip,15)="Vehicle-mounted",d_AppPfCaBfR = "Yes"),0,IF(AND(i_Season = "late (dense foliage)",i_AppMeth="Upward spraying",OR(i_AppEquip="Manual-Hand held",i_AppEquip="Manual-Knapsack")),0,INDEX(ay_OpExAOEM,MATCH(sys_KeyOperator&amp;"Protected Body",key_AOEM,0),17)))   ),MAX(INDEX(ay_OpExAOEM,MATCH(sys_KeyOperator&amp;"Protected Body",key_AOEM,0),18),(INDEX(ay_OpExAOEM,MATCH(sys_KeyOperator&amp;"Protected Body",key_AOEM,0),18)/d_PctExtrapolation)*0.9*i_AmountAS2))</f>
        <v>#N/A</v>
      </c>
      <c r="G36" s="149" t="e">
        <f>IF(ISBLANK(INDEX(ay_OpExAOEM,MATCH(sys_KeyOperator&amp;"Protected Body",key_AOEM,0),22)),10^(INDEX(ay_OpExAOEM,MATCH(sys_KeyOperator&amp;"Protected Body",key_AOEM,0),19)+(LOG(0.9*i_AmountAS2)*INDEX(ay_OpExAOEM,MATCH(sys_KeyOperator&amp;"Protected Body",key_AOEM,0),20))+  IF(AND(i_AppMeth="Upward spraying",LEFT(i_AppEquip,15)="Vehicle-mounted",d_AppPfCaBfR = "Yes"),0,IF(AND(i_Season = "late (dense foliage)",i_AppMeth="Upward spraying",OR(i_AppEquip="Manual-Hand held",i_AppEquip="Manual-Knapsack")),0,INDEX(ay_OpExAOEM,MATCH(sys_KeyOperator&amp;"Protected Body",key_AOEM,0),21)))   ),MAX(INDEX(ay_OpExAOEM,MATCH(sys_KeyOperator&amp;"Protected Body",key_AOEM,0),22),(INDEX(ay_OpExAOEM,MATCH(sys_KeyOperator&amp;"Protected Body",key_AOEM,0),22)/d_PctExtrapolation)*0.9*i_AmountAS2))</f>
        <v>#N/A</v>
      </c>
      <c r="H36" s="144" t="e">
        <f>IF(ISBLANK(INDEX(ay_OpExAOEM,MATCH(sys_KeyOperator&amp;"Protected Body",key_AOEM,0),18)),10^(INDEX(ay_OpExAOEM,MATCH(sys_KeyOperator&amp;"Protected Body",key_AOEM,0),15)+(LOG(0.9*i_AmountAS3)*INDEX(ay_OpExAOEM,MATCH(sys_KeyOperator&amp;"Protected Body",key_AOEM,0),16))+  IF(AND(i_AppMeth="Upward spraying",LEFT(i_AppEquip,15)="Vehicle-mounted",d_AppPfCaBfR = "Yes"),0,IF(AND(i_Season = "late (dense foliage)",i_AppMeth="Upward spraying",OR(i_AppEquip="Manual-Hand held",i_AppEquip="Manual-Knapsack")),0,INDEX(ay_OpExAOEM,MATCH(sys_KeyOperator&amp;"Protected Body",key_AOEM,0),17)))   ),MAX(INDEX(ay_OpExAOEM,MATCH(sys_KeyOperator&amp;"Protected Body",key_AOEM,0),18),(INDEX(ay_OpExAOEM,MATCH(sys_KeyOperator&amp;"Protected Body",key_AOEM,0),18)/d_PctExtrapolation)*0.9*i_AmountAS3))</f>
        <v>#N/A</v>
      </c>
      <c r="I36" s="149" t="e">
        <f>IF(ISBLANK(INDEX(ay_OpExAOEM,MATCH(sys_KeyOperator&amp;"Protected Body",key_AOEM,0),22)),10^(INDEX(ay_OpExAOEM,MATCH(sys_KeyOperator&amp;"Protected Body",key_AOEM,0),19)+(LOG(0.9*i_AmountAS3)*INDEX(ay_OpExAOEM,MATCH(sys_KeyOperator&amp;"Protected Body",key_AOEM,0),20))+  IF(AND(i_AppMeth="Upward spraying",LEFT(i_AppEquip,15)="Vehicle-mounted",d_AppPfCaBfR = "Yes"),0,IF(AND(i_Season = "late (dense foliage)",i_AppMeth="Upward spraying",OR(i_AppEquip="Manual-Hand held",i_AppEquip="Manual-Knapsack")),0,INDEX(ay_OpExAOEM,MATCH(sys_KeyOperator&amp;"Protected Body",key_AOEM,0),21)))   ),MAX(INDEX(ay_OpExAOEM,MATCH(sys_KeyOperator&amp;"Protected Body",key_AOEM,0),22),(INDEX(ay_OpExAOEM,MATCH(sys_KeyOperator&amp;"Protected Body",key_AOEM,0),22)/d_PctExtrapolation)*0.9*i_AmountAS3))</f>
        <v>#N/A</v>
      </c>
      <c r="J36" s="148" t="e">
        <f>IF(ISBLANK(INDEX(ay_OpExAOEM,MATCH(sys_KeyOperator&amp;"Protected Body",key_AOEM,0),18)),10^(INDEX(ay_OpExAOEM,MATCH(sys_KeyOperator&amp;"Protected Body",key_AOEM,0),15)+(LOG(0.9*i_AmountAS4)*INDEX(ay_OpExAOEM,MATCH(sys_KeyOperator&amp;"Protected Body",key_AOEM,0),16))+  IF(AND(i_AppMeth="Upward spraying",LEFT(i_AppEquip,15)="Vehicle-mounted",d_AppPfCaBfR = "Yes"),0,IF(AND(i_Season = "late (dense foliage)",i_AppMeth="Upward spraying",OR(i_AppEquip="Manual-Hand held",i_AppEquip="Manual-Knapsack")),0,INDEX(ay_OpExAOEM,MATCH(sys_KeyOperator&amp;"Protected Body",key_AOEM,0),17)))   ),MAX(INDEX(ay_OpExAOEM,MATCH(sys_KeyOperator&amp;"Protected Body",key_AOEM,0),18),(INDEX(ay_OpExAOEM,MATCH(sys_KeyOperator&amp;"Protected Body",key_AOEM,0),18)/d_PctExtrapolation)*0.9*i_AmountAS4))</f>
        <v>#N/A</v>
      </c>
      <c r="K36" s="149" t="e">
        <f>IF(ISBLANK(INDEX(ay_OpExAOEM,MATCH(sys_KeyOperator&amp;"Protected Body",key_AOEM,0),22)),10^(INDEX(ay_OpExAOEM,MATCH(sys_KeyOperator&amp;"Protected Body",key_AOEM,0),19)+(LOG(0.9*i_AmountAS4)*INDEX(ay_OpExAOEM,MATCH(sys_KeyOperator&amp;"Protected Body",key_AOEM,0),20))+  IF(AND(i_AppMeth="Upward spraying",LEFT(i_AppEquip,15)="Vehicle-mounted",d_AppPfCaBfR = "Yes"),0,IF(AND(i_Season = "late (dense foliage)",i_AppMeth="Upward spraying",OR(i_AppEquip="Manual-Hand held",i_AppEquip="Manual-Knapsack")),0,INDEX(ay_OpExAOEM,MATCH(sys_KeyOperator&amp;"Protected Body",key_AOEM,0),21)))   ),MAX(INDEX(ay_OpExAOEM,MATCH(sys_KeyOperator&amp;"Protected Body",key_AOEM,0),22),(INDEX(ay_OpExAOEM,MATCH(sys_KeyOperator&amp;"Protected Body",key_AOEM,0),22)/d_PctExtrapolation)*0.9*i_AmountAS4))</f>
        <v>#N/A</v>
      </c>
      <c r="L36" s="145" t="s">
        <v>419</v>
      </c>
      <c r="M36" s="866"/>
      <c r="S36" s="40"/>
      <c r="W36" s="40"/>
    </row>
    <row r="37" spans="1:23" ht="20.25" customHeight="1" thickBot="1">
      <c r="A37" s="27"/>
      <c r="B37" s="871"/>
      <c r="C37" s="142" t="s">
        <v>109</v>
      </c>
      <c r="D37" s="159" t="e">
        <f>IF(ISBLANK(INDEX(ay_OpExAOEM,MATCH(sys_KeyOperator&amp;"Inhalation",key_AOEM,0),18)),10^(INDEX(ay_OpExAOEM,MATCH(sys_KeyOperator&amp;"Inhalation",key_AOEM,0),15)+(LOG(0.9*i_AmountAS1)*INDEX(ay_OpExAOEM,MATCH(sys_KeyOperator&amp;"Inhalation",key_AOEM,0),16))+  IF(AND(i_AppMeth="Upward spraying",LEFT(i_AppEquip,15)="Vehicle-mounted",d_AppPfCaBfR = "Yes"),0,IF(AND(i_Season = "late (dense foliage)",i_AppMeth="Upward spraying",OR(i_AppEquip="Manual-Hand held",i_AppEquip="Manual-Knapsack")),0,INDEX(ay_OpExAOEM,MATCH(sys_KeyOperator&amp;"Inhalation",key_AOEM,0),17)))  ),MAX(INDEX(ay_OpExAOEM,MATCH(sys_KeyOperator&amp;"Inhalation",key_AOEM,0),18),(INDEX(ay_OpExAOEM,MATCH(sys_KeyOperator&amp;"Inhalation",key_AOEM,0),18)/d_PctExtrapolation)*0.9*i_AmountAS1))</f>
        <v>#N/A</v>
      </c>
      <c r="E37" s="160" t="e">
        <f>IF(ISBLANK(INDEX(ay_OpExAOEM,MATCH(sys_KeyOperator&amp;"Inhalation",key_AOEM,0),22)),10^(INDEX(ay_OpExAOEM,MATCH(sys_KeyOperator&amp;"Inhalation",key_AOEM,0),19)+(LOG(0.9*i_AmountAS1)*INDEX(ay_OpExAOEM,MATCH(sys_KeyOperator&amp;"Inhalation",key_AOEM,0),20))+  IF(AND(i_AppMeth="Upward spraying",LEFT(i_AppEquip,15)="Vehicle-mounted",d_AppPfCaBfR = "Yes"),0,IF(AND(i_Season = "late (dense foliage)",i_AppMeth="Upward spraying",OR(i_AppEquip="Manual-Hand held",i_AppEquip="Manual-Knapsack")),0,INDEX(ay_OpExAOEM,MATCH(sys_KeyOperator&amp;"Inhalation",key_AOEM,0),21)))  ),MAX(INDEX(ay_OpExAOEM,MATCH(sys_KeyOperator&amp;"Inhalation",key_AOEM,0),22),(INDEX(ay_OpExAOEM,MATCH(sys_KeyOperator&amp;"Inhalation",key_AOEM,0),22)/d_PctExtrapolation)*0.9*i_AmountAS1))</f>
        <v>#N/A</v>
      </c>
      <c r="F37" s="159" t="e">
        <f>IF(ISBLANK(INDEX(ay_OpExAOEM,MATCH(sys_KeyOperator&amp;"Inhalation",key_AOEM,0),18)),10^(INDEX(ay_OpExAOEM,MATCH(sys_KeyOperator&amp;"Inhalation",key_AOEM,0),15)+(LOG(0.9*i_AmountAS2)*INDEX(ay_OpExAOEM,MATCH(sys_KeyOperator&amp;"Inhalation",key_AOEM,0),16))+  IF(AND(i_AppMeth="Upward spraying",LEFT(i_AppEquip,15)="Vehicle-mounted",d_AppPfCaBfR = "Yes"),0,IF(AND(i_Season = "late (dense foliage)",i_AppMeth="Upward spraying",OR(i_AppEquip="Manual-Hand held",i_AppEquip="Manual-Knapsack")),0,INDEX(ay_OpExAOEM,MATCH(sys_KeyOperator&amp;"Inhalation",key_AOEM,0),17)))  ),MAX(INDEX(ay_OpExAOEM,MATCH(sys_KeyOperator&amp;"Inhalation",key_AOEM,0),18),(INDEX(ay_OpExAOEM,MATCH(sys_KeyOperator&amp;"Inhalation",key_AOEM,0),18)/d_PctExtrapolation)*0.9*i_AmountAS2))</f>
        <v>#N/A</v>
      </c>
      <c r="G37" s="160" t="e">
        <f>IF(ISBLANK(INDEX(ay_OpExAOEM,MATCH(sys_KeyOperator&amp;"Inhalation",key_AOEM,0),22)),10^(INDEX(ay_OpExAOEM,MATCH(sys_KeyOperator&amp;"Inhalation",key_AOEM,0),19)+(LOG(0.9*i_AmountAS2)*INDEX(ay_OpExAOEM,MATCH(sys_KeyOperator&amp;"Inhalation",key_AOEM,0),20))+  IF(AND(i_AppMeth="Upward spraying",LEFT(i_AppEquip,15)="Vehicle-mounted",d_AppPfCaBfR = "Yes"),0,IF(AND(i_Season = "late (dense foliage)",i_AppMeth="Upward spraying",OR(i_AppEquip="Manual-Hand held",i_AppEquip="Manual-Knapsack")),0,INDEX(ay_OpExAOEM,MATCH(sys_KeyOperator&amp;"Inhalation",key_AOEM,0),21)))  ),MAX(INDEX(ay_OpExAOEM,MATCH(sys_KeyOperator&amp;"Inhalation",key_AOEM,0),22),(INDEX(ay_OpExAOEM,MATCH(sys_KeyOperator&amp;"Inhalation",key_AOEM,0),22)/d_PctExtrapolation)*0.9*i_AmountAS2))</f>
        <v>#N/A</v>
      </c>
      <c r="H37" s="161" t="e">
        <f>IF(ISBLANK(INDEX(ay_OpExAOEM,MATCH(sys_KeyOperator&amp;"Inhalation",key_AOEM,0),18)),10^(INDEX(ay_OpExAOEM,MATCH(sys_KeyOperator&amp;"Inhalation",key_AOEM,0),15)+(LOG(0.9*i_AmountAS3)*INDEX(ay_OpExAOEM,MATCH(sys_KeyOperator&amp;"Inhalation",key_AOEM,0),16))+  IF(AND(i_AppMeth="Upward spraying",LEFT(i_AppEquip,15)="Vehicle-mounted",d_AppPfCaBfR = "Yes"),0,IF(AND(i_Season = "late (dense foliage)",i_AppMeth="Upward spraying",OR(i_AppEquip="Manual-Hand held",i_AppEquip="Manual-Knapsack")),0,INDEX(ay_OpExAOEM,MATCH(sys_KeyOperator&amp;"Inhalation",key_AOEM,0),17)))  ),MAX(INDEX(ay_OpExAOEM,MATCH(sys_KeyOperator&amp;"Inhalation",key_AOEM,0),18),(INDEX(ay_OpExAOEM,MATCH(sys_KeyOperator&amp;"Inhalation",key_AOEM,0),18)/d_PctExtrapolation)*0.9*i_AmountAS3))</f>
        <v>#N/A</v>
      </c>
      <c r="I37" s="160" t="e">
        <f>IF(ISBLANK(INDEX(ay_OpExAOEM,MATCH(sys_KeyOperator&amp;"Inhalation",key_AOEM,0),22)),10^(INDEX(ay_OpExAOEM,MATCH(sys_KeyOperator&amp;"Inhalation",key_AOEM,0),19)+(LOG(0.9*i_AmountAS3)*INDEX(ay_OpExAOEM,MATCH(sys_KeyOperator&amp;"Inhalation",key_AOEM,0),20))+  IF(AND(i_AppMeth="Upward spraying",LEFT(i_AppEquip,15)="Vehicle-mounted",d_AppPfCaBfR = "Yes"),0,IF(AND(i_Season = "late (dense foliage)",i_AppMeth="Upward spraying",OR(i_AppEquip="Manual-Hand held",i_AppEquip="Manual-Knapsack")),0,INDEX(ay_OpExAOEM,MATCH(sys_KeyOperator&amp;"Inhalation",key_AOEM,0),21)))  ),MAX(INDEX(ay_OpExAOEM,MATCH(sys_KeyOperator&amp;"Inhalation",key_AOEM,0),22),(INDEX(ay_OpExAOEM,MATCH(sys_KeyOperator&amp;"Inhalation",key_AOEM,0),22)/d_PctExtrapolation)*0.9*i_AmountAS3))</f>
        <v>#N/A</v>
      </c>
      <c r="J37" s="159" t="e">
        <f>IF(ISBLANK(INDEX(ay_OpExAOEM,MATCH(sys_KeyOperator&amp;"Inhalation",key_AOEM,0),18)),10^(INDEX(ay_OpExAOEM,MATCH(sys_KeyOperator&amp;"Inhalation",key_AOEM,0),15)+(LOG(0.9*i_AmountAS4)*INDEX(ay_OpExAOEM,MATCH(sys_KeyOperator&amp;"Inhalation",key_AOEM,0),16))+  IF(AND(i_AppMeth="Upward spraying",LEFT(i_AppEquip,15)="Vehicle-mounted",d_AppPfCaBfR = "Yes"),0,IF(AND(i_Season = "late (dense foliage)",i_AppMeth="Upward spraying",OR(i_AppEquip="Manual-Hand held",i_AppEquip="Manual-Knapsack")),0,INDEX(ay_OpExAOEM,MATCH(sys_KeyOperator&amp;"Inhalation",key_AOEM,0),17)))  ),MAX(INDEX(ay_OpExAOEM,MATCH(sys_KeyOperator&amp;"Inhalation",key_AOEM,0),18),(INDEX(ay_OpExAOEM,MATCH(sys_KeyOperator&amp;"Inhalation",key_AOEM,0),18)/d_PctExtrapolation)*0.9*i_AmountAS4))</f>
        <v>#N/A</v>
      </c>
      <c r="K37" s="160" t="e">
        <f>IF(ISBLANK(INDEX(ay_OpExAOEM,MATCH(sys_KeyOperator&amp;"Inhalation",key_AOEM,0),22)),10^(INDEX(ay_OpExAOEM,MATCH(sys_KeyOperator&amp;"Inhalation",key_AOEM,0),19)+(LOG(0.9*i_AmountAS4)*INDEX(ay_OpExAOEM,MATCH(sys_KeyOperator&amp;"Inhalation",key_AOEM,0),20))+  IF(AND(i_AppMeth="Upward spraying",LEFT(i_AppEquip,15)="Vehicle-mounted",d_AppPfCaBfR = "Yes"),0,IF(AND(i_Season = "late (dense foliage)",i_AppMeth="Upward spraying",OR(i_AppEquip="Manual-Hand held",i_AppEquip="Manual-Knapsack")),0,INDEX(ay_OpExAOEM,MATCH(sys_KeyOperator&amp;"Inhalation",key_AOEM,0),21)))  ),MAX(INDEX(ay_OpExAOEM,MATCH(sys_KeyOperator&amp;"Inhalation",key_AOEM,0),22),(INDEX(ay_OpExAOEM,MATCH(sys_KeyOperator&amp;"Inhalation",key_AOEM,0),22)/d_PctExtrapolation)*0.9*i_AmountAS4))</f>
        <v>#N/A</v>
      </c>
      <c r="L37" s="162" t="s">
        <v>419</v>
      </c>
      <c r="M37" s="866"/>
      <c r="S37" s="40"/>
      <c r="W37" s="40"/>
    </row>
    <row r="38" spans="1:23" ht="15.75" thickBot="1">
      <c r="A38" s="27"/>
      <c r="B38" s="871"/>
      <c r="C38" s="336" t="s">
        <v>424</v>
      </c>
      <c r="D38" s="867"/>
      <c r="E38" s="868"/>
      <c r="F38" s="279"/>
      <c r="G38" s="280"/>
      <c r="H38" s="280"/>
      <c r="I38" s="280"/>
      <c r="J38" s="280"/>
      <c r="K38" s="316"/>
      <c r="L38" s="165" t="s">
        <v>426</v>
      </c>
      <c r="M38" s="645" t="s">
        <v>427</v>
      </c>
      <c r="S38" s="41"/>
      <c r="W38" s="41"/>
    </row>
    <row r="39" spans="1:23" ht="15.75" thickBot="1">
      <c r="A39" s="27"/>
      <c r="B39" s="871"/>
      <c r="C39" s="141" t="s">
        <v>428</v>
      </c>
      <c r="D39" s="853" t="str">
        <f>'Operator Spray'!D39</f>
        <v>No</v>
      </c>
      <c r="E39" s="854"/>
      <c r="F39" s="281"/>
      <c r="G39" s="31"/>
      <c r="H39" s="31"/>
      <c r="I39" s="31"/>
      <c r="J39" s="31"/>
      <c r="K39" s="163"/>
      <c r="L39" s="869" t="str">
        <f>IF(D39="Yes","Incl. in AOEM model","")</f>
        <v/>
      </c>
      <c r="M39" s="870"/>
      <c r="S39" s="41"/>
      <c r="W39" s="41"/>
    </row>
    <row r="40" spans="1:23" ht="29.25" customHeight="1" thickBot="1">
      <c r="A40" s="27"/>
      <c r="B40" s="871"/>
      <c r="C40" s="138" t="s">
        <v>429</v>
      </c>
      <c r="D40" s="853" t="str">
        <f>'Operator Spray'!D40</f>
        <v>Work wear - arms, body and legs covered</v>
      </c>
      <c r="E40" s="854"/>
      <c r="F40" s="281"/>
      <c r="G40" s="31"/>
      <c r="H40" s="31"/>
      <c r="I40" s="31"/>
      <c r="J40" s="31"/>
      <c r="K40" s="163"/>
      <c r="L40" s="855" t="s">
        <v>430</v>
      </c>
      <c r="M40" s="856"/>
      <c r="S40" s="41"/>
      <c r="W40" s="41"/>
    </row>
    <row r="41" spans="1:23" ht="15.75" thickBot="1">
      <c r="A41" s="27"/>
      <c r="B41" s="871"/>
      <c r="C41" s="284" t="s">
        <v>431</v>
      </c>
      <c r="D41" s="853" t="str">
        <f>'Operator Spray'!D41</f>
        <v>None</v>
      </c>
      <c r="E41" s="854"/>
      <c r="F41" s="281"/>
      <c r="G41" s="31"/>
      <c r="H41" s="31"/>
      <c r="I41" s="31"/>
      <c r="J41" s="31"/>
      <c r="K41" s="163"/>
      <c r="L41" s="166">
        <f>INDEX(ay_MixPPEHead,MATCH(D41,key_MixPPEHead,0),2)</f>
        <v>1</v>
      </c>
      <c r="M41" s="167">
        <f>IF(OR(D41="Hood and visor",D41="Hood"),1,INDEX(ay_MixRPE,MATCH(D41,key_MixRPE,0),2))</f>
        <v>1</v>
      </c>
      <c r="S41" s="41"/>
      <c r="W41" s="41"/>
    </row>
    <row r="42" spans="1:23" ht="30" customHeight="1" thickBot="1">
      <c r="A42" s="27"/>
      <c r="B42" s="872"/>
      <c r="C42" s="143" t="s">
        <v>434</v>
      </c>
      <c r="D42" s="853" t="str">
        <f>'Operator Spray'!D42</f>
        <v>Not relevant</v>
      </c>
      <c r="E42" s="854"/>
      <c r="F42" s="282"/>
      <c r="G42" s="283"/>
      <c r="H42" s="283"/>
      <c r="I42" s="283"/>
      <c r="J42" s="283"/>
      <c r="K42" s="164"/>
      <c r="L42" s="857" t="s">
        <v>435</v>
      </c>
      <c r="M42" s="858"/>
      <c r="S42" s="41"/>
      <c r="W42" s="41"/>
    </row>
    <row r="43" spans="1:23" ht="15.75" thickBot="1">
      <c r="B43" s="43"/>
      <c r="E43" s="21"/>
      <c r="F43" s="21"/>
      <c r="G43" s="21"/>
    </row>
    <row r="44" spans="1:23" ht="19.5" thickBot="1">
      <c r="B44" s="44" t="s">
        <v>436</v>
      </c>
      <c r="D44" s="859">
        <f>i_SubstName1</f>
        <v>0</v>
      </c>
      <c r="E44" s="860"/>
      <c r="F44" s="859">
        <f>i_SubstName2</f>
        <v>0</v>
      </c>
      <c r="G44" s="860"/>
      <c r="H44" s="859">
        <f>i_SubstName3</f>
        <v>0</v>
      </c>
      <c r="I44" s="860"/>
      <c r="J44" s="859">
        <f>i_SubstName4</f>
        <v>0</v>
      </c>
      <c r="K44" s="860"/>
      <c r="L44" s="859" t="s">
        <v>370</v>
      </c>
      <c r="M44" s="860"/>
    </row>
    <row r="45" spans="1:23" ht="15" customHeight="1" thickBot="1">
      <c r="B45" s="196"/>
      <c r="C45" s="197"/>
      <c r="D45" s="332" t="s">
        <v>437</v>
      </c>
      <c r="E45" s="333" t="s">
        <v>438</v>
      </c>
      <c r="F45" s="332" t="s">
        <v>437</v>
      </c>
      <c r="G45" s="333" t="s">
        <v>438</v>
      </c>
      <c r="H45" s="332" t="s">
        <v>437</v>
      </c>
      <c r="I45" s="333" t="s">
        <v>438</v>
      </c>
      <c r="J45" s="332" t="s">
        <v>437</v>
      </c>
      <c r="K45" s="333" t="s">
        <v>438</v>
      </c>
      <c r="L45" s="332" t="s">
        <v>437</v>
      </c>
      <c r="M45" s="333" t="s">
        <v>438</v>
      </c>
    </row>
    <row r="46" spans="1:23" ht="33.75" customHeight="1" thickBot="1">
      <c r="B46" s="846" t="s">
        <v>439</v>
      </c>
      <c r="C46" s="847"/>
      <c r="D46" s="847"/>
      <c r="E46" s="847"/>
      <c r="F46" s="847"/>
      <c r="G46" s="847"/>
      <c r="H46" s="847"/>
      <c r="I46" s="847"/>
      <c r="J46" s="847"/>
      <c r="K46" s="847"/>
      <c r="L46" s="847"/>
      <c r="M46" s="848"/>
    </row>
    <row r="47" spans="1:23" ht="33" customHeight="1">
      <c r="B47" s="849" t="s">
        <v>440</v>
      </c>
      <c r="C47" s="850"/>
      <c r="D47" s="667" t="e">
        <f>(D63+D79)</f>
        <v>#N/A</v>
      </c>
      <c r="E47" s="309" t="e">
        <f>(D70+D85)</f>
        <v>#N/A</v>
      </c>
      <c r="F47" s="667" t="e">
        <f>(F63+F79)</f>
        <v>#N/A</v>
      </c>
      <c r="G47" s="309" t="e">
        <f>(F70+F85)</f>
        <v>#N/A</v>
      </c>
      <c r="H47" s="667" t="e">
        <f>(H63+H79)</f>
        <v>#N/A</v>
      </c>
      <c r="I47" s="309" t="e">
        <f>(H70+H85)</f>
        <v>#N/A</v>
      </c>
      <c r="J47" s="667" t="e">
        <f>(J63+J79)</f>
        <v>#N/A</v>
      </c>
      <c r="K47" s="309" t="e">
        <f>(J70+J85)</f>
        <v>#N/A</v>
      </c>
    </row>
    <row r="48" spans="1:23" ht="43.5" customHeight="1">
      <c r="B48" s="842" t="s">
        <v>441</v>
      </c>
      <c r="C48" s="843"/>
      <c r="D48" s="665" t="e">
        <f t="shared" ref="D48:K48" si="0">D47/d_BwAdult</f>
        <v>#N/A</v>
      </c>
      <c r="E48" s="256" t="e">
        <f t="shared" si="0"/>
        <v>#N/A</v>
      </c>
      <c r="F48" s="665" t="e">
        <f t="shared" si="0"/>
        <v>#N/A</v>
      </c>
      <c r="G48" s="256" t="e">
        <f t="shared" si="0"/>
        <v>#N/A</v>
      </c>
      <c r="H48" s="665" t="e">
        <f t="shared" si="0"/>
        <v>#N/A</v>
      </c>
      <c r="I48" s="256" t="e">
        <f t="shared" si="0"/>
        <v>#N/A</v>
      </c>
      <c r="J48" s="665" t="e">
        <f t="shared" si="0"/>
        <v>#N/A</v>
      </c>
      <c r="K48" s="256" t="e">
        <f t="shared" si="0"/>
        <v>#N/A</v>
      </c>
    </row>
    <row r="49" spans="2:13" ht="30.75" customHeight="1" thickBot="1">
      <c r="B49" s="851" t="s">
        <v>442</v>
      </c>
      <c r="C49" s="852"/>
      <c r="D49" s="186">
        <f>IFERROR(D48/i_AOEL1,0)</f>
        <v>0</v>
      </c>
      <c r="E49" s="80">
        <f>IFERROR(E48/i_AOEL1,0)</f>
        <v>0</v>
      </c>
      <c r="F49" s="186">
        <f>IFERROR(F48/i_AOEL2,0)</f>
        <v>0</v>
      </c>
      <c r="G49" s="80">
        <f>IFERROR(G48/i_AOEL2,0)</f>
        <v>0</v>
      </c>
      <c r="H49" s="186">
        <f>IFERROR(H48/i_AOEL3,0)</f>
        <v>0</v>
      </c>
      <c r="I49" s="80">
        <f>IFERROR(I48/i_AOEL3,0)</f>
        <v>0</v>
      </c>
      <c r="J49" s="186">
        <f>IFERROR(J48/i_AOEL4,0)</f>
        <v>0</v>
      </c>
      <c r="K49" s="80">
        <f>IFERROR(K48/i_AOEL4,0)</f>
        <v>0</v>
      </c>
      <c r="L49" s="186" t="str">
        <f>"Hazard index = "&amp;FIXED(D49+F49+H49+J49,3)</f>
        <v>Hazard index = 0.000</v>
      </c>
      <c r="M49" s="80" t="str">
        <f>"Hazard index = "&amp;FIXED(E49+G49+I49+K49,3)</f>
        <v>Hazard index = 0.000</v>
      </c>
    </row>
    <row r="50" spans="2:13" ht="34.5" customHeight="1" thickBot="1">
      <c r="B50" s="846" t="s">
        <v>443</v>
      </c>
      <c r="C50" s="847"/>
      <c r="D50" s="847"/>
      <c r="E50" s="847"/>
      <c r="F50" s="847"/>
      <c r="G50" s="847"/>
      <c r="H50" s="847"/>
      <c r="I50" s="847"/>
      <c r="J50" s="847"/>
      <c r="K50" s="847"/>
      <c r="L50" s="847"/>
      <c r="M50" s="848"/>
    </row>
    <row r="51" spans="2:13" ht="45" customHeight="1">
      <c r="B51" s="849" t="s">
        <v>440</v>
      </c>
      <c r="C51" s="850"/>
      <c r="D51" s="667" t="e">
        <f>(D95+D111)</f>
        <v>#N/A</v>
      </c>
      <c r="E51" s="309" t="e">
        <f>(D102+D117)</f>
        <v>#N/A</v>
      </c>
      <c r="F51" s="667" t="e">
        <f>(F95+F111)</f>
        <v>#N/A</v>
      </c>
      <c r="G51" s="309" t="e">
        <f>(F102+F117)</f>
        <v>#N/A</v>
      </c>
      <c r="H51" s="667" t="e">
        <f>(H95+H111)</f>
        <v>#N/A</v>
      </c>
      <c r="I51" s="309" t="e">
        <f>(H102+H117)</f>
        <v>#N/A</v>
      </c>
      <c r="J51" s="667" t="e">
        <f>(J95+J111)</f>
        <v>#N/A</v>
      </c>
      <c r="K51" s="309" t="e">
        <f>(J102+J117)</f>
        <v>#N/A</v>
      </c>
    </row>
    <row r="52" spans="2:13" ht="44.25" customHeight="1">
      <c r="B52" s="842" t="s">
        <v>441</v>
      </c>
      <c r="C52" s="843"/>
      <c r="D52" s="665" t="e">
        <f t="shared" ref="D52:K52" si="1">D51/d_BwAdult</f>
        <v>#N/A</v>
      </c>
      <c r="E52" s="256" t="e">
        <f t="shared" si="1"/>
        <v>#N/A</v>
      </c>
      <c r="F52" s="665" t="e">
        <f t="shared" si="1"/>
        <v>#N/A</v>
      </c>
      <c r="G52" s="256" t="e">
        <f t="shared" si="1"/>
        <v>#N/A</v>
      </c>
      <c r="H52" s="665" t="e">
        <f t="shared" si="1"/>
        <v>#N/A</v>
      </c>
      <c r="I52" s="256" t="e">
        <f t="shared" si="1"/>
        <v>#N/A</v>
      </c>
      <c r="J52" s="665" t="e">
        <f t="shared" si="1"/>
        <v>#N/A</v>
      </c>
      <c r="K52" s="256" t="e">
        <f t="shared" si="1"/>
        <v>#N/A</v>
      </c>
    </row>
    <row r="53" spans="2:13" ht="36.75" customHeight="1" thickBot="1">
      <c r="B53" s="48" t="s">
        <v>444</v>
      </c>
      <c r="C53" s="49"/>
      <c r="D53" s="186">
        <f>IFERROR(D52/i_AAOEL1,0)</f>
        <v>0</v>
      </c>
      <c r="E53" s="80">
        <f>IFERROR(E52/i_AAOEL1,0)</f>
        <v>0</v>
      </c>
      <c r="F53" s="186">
        <f>IFERROR(F52/i_AAOEL2,0)</f>
        <v>0</v>
      </c>
      <c r="G53" s="80">
        <f>IFERROR(G52/i_AAOEL2,0)</f>
        <v>0</v>
      </c>
      <c r="H53" s="186">
        <f>IFERROR(H52/i_AAOEL3,0)</f>
        <v>0</v>
      </c>
      <c r="I53" s="80">
        <f>IFERROR(I52/i_AAOEL3,0)</f>
        <v>0</v>
      </c>
      <c r="J53" s="186">
        <f>IFERROR(J52/i_AAOEL4,0)</f>
        <v>0</v>
      </c>
      <c r="K53" s="80">
        <f>IFERROR(K52/i_AAOEL4,0)</f>
        <v>0</v>
      </c>
      <c r="L53" s="186" t="str">
        <f>"Hazard index = "&amp;FIXED(D53+F53+H53+J53,3)</f>
        <v>Hazard index = 0.000</v>
      </c>
      <c r="M53" s="80" t="str">
        <f>"Hazard index = "&amp;FIXED(E53+G53+I53+K53,3)</f>
        <v>Hazard index = 0.000</v>
      </c>
    </row>
    <row r="54" spans="2:13">
      <c r="D54" s="644"/>
      <c r="E54" s="844"/>
      <c r="F54" s="844"/>
      <c r="G54" s="644"/>
      <c r="H54" s="50"/>
    </row>
    <row r="55" spans="2:13" ht="45.75" customHeight="1" thickBot="1">
      <c r="B55" s="51" t="s">
        <v>445</v>
      </c>
      <c r="D55" s="644"/>
      <c r="E55" s="845"/>
      <c r="F55" s="845"/>
      <c r="G55" s="644"/>
    </row>
    <row r="56" spans="2:13" ht="18.75">
      <c r="B56" s="51" t="s">
        <v>446</v>
      </c>
      <c r="D56" s="837">
        <f>i_SubstName1</f>
        <v>0</v>
      </c>
      <c r="E56" s="838"/>
      <c r="F56" s="837">
        <f>i_SubstName2</f>
        <v>0</v>
      </c>
      <c r="G56" s="838"/>
      <c r="H56" s="837">
        <f>i_SubstName3</f>
        <v>0</v>
      </c>
      <c r="I56" s="838"/>
      <c r="J56" s="837">
        <f>i_SubstName4</f>
        <v>0</v>
      </c>
      <c r="K56" s="838"/>
    </row>
    <row r="57" spans="2:13">
      <c r="B57" s="839"/>
      <c r="C57" s="840"/>
      <c r="D57" s="656" t="s">
        <v>447</v>
      </c>
      <c r="E57" s="653" t="s">
        <v>448</v>
      </c>
      <c r="F57" s="656" t="s">
        <v>447</v>
      </c>
      <c r="G57" s="653" t="s">
        <v>448</v>
      </c>
      <c r="H57" s="153" t="s">
        <v>447</v>
      </c>
      <c r="I57" s="154" t="s">
        <v>448</v>
      </c>
      <c r="J57" s="153" t="s">
        <v>447</v>
      </c>
      <c r="K57" s="154" t="s">
        <v>448</v>
      </c>
    </row>
    <row r="58" spans="2:13" ht="15" customHeight="1">
      <c r="B58" s="835" t="s">
        <v>437</v>
      </c>
      <c r="C58" s="836"/>
      <c r="D58" s="656"/>
      <c r="E58" s="653"/>
      <c r="F58" s="656"/>
      <c r="G58" s="653"/>
      <c r="H58" s="61"/>
      <c r="I58" s="154"/>
      <c r="J58" s="61"/>
      <c r="K58" s="154"/>
    </row>
    <row r="59" spans="2:13" ht="15" customHeight="1">
      <c r="B59" s="831" t="s">
        <v>418</v>
      </c>
      <c r="C59" s="832"/>
      <c r="D59" s="668" t="e">
        <f>D17*i_AbsorpProduct1/1000</f>
        <v>#N/A</v>
      </c>
      <c r="E59" s="256" t="e">
        <f>D59/d_BwAdult</f>
        <v>#N/A</v>
      </c>
      <c r="F59" s="668" t="e">
        <f>F17*i_AbsorpProduct2/1000</f>
        <v>#N/A</v>
      </c>
      <c r="G59" s="256" t="e">
        <f>F59/d_BwAdult</f>
        <v>#N/A</v>
      </c>
      <c r="H59" s="668" t="e">
        <f>H17*i_AbsorpProduct3/1000</f>
        <v>#N/A</v>
      </c>
      <c r="I59" s="256" t="e">
        <f>H59/d_BwAdult</f>
        <v>#N/A</v>
      </c>
      <c r="J59" s="668" t="e">
        <f>J17*i_AbsorpProduct4/1000</f>
        <v>#N/A</v>
      </c>
      <c r="K59" s="256" t="e">
        <f>J59/d_BwAdult</f>
        <v>#N/A</v>
      </c>
      <c r="L59" t="e">
        <f>E59*1000</f>
        <v>#N/A</v>
      </c>
    </row>
    <row r="60" spans="2:13">
      <c r="B60" s="831" t="s">
        <v>420</v>
      </c>
      <c r="C60" s="832"/>
      <c r="D60" s="668" t="e">
        <f>D18*i_AbsorpProduct1/1000</f>
        <v>#N/A</v>
      </c>
      <c r="E60" s="256" t="e">
        <f>D60/d_BwAdult</f>
        <v>#N/A</v>
      </c>
      <c r="F60" s="668" t="e">
        <f>F18*i_AbsorpProduct2/1000</f>
        <v>#N/A</v>
      </c>
      <c r="G60" s="256" t="e">
        <f>F60/d_BwAdult</f>
        <v>#N/A</v>
      </c>
      <c r="H60" s="668" t="e">
        <f>H18*i_AbsorpProduct3/1000</f>
        <v>#N/A</v>
      </c>
      <c r="I60" s="256" t="e">
        <f>H60/d_BwAdult</f>
        <v>#N/A</v>
      </c>
      <c r="J60" s="668" t="e">
        <f>J18*i_AbsorpProduct4/1000</f>
        <v>#N/A</v>
      </c>
      <c r="K60" s="256" t="e">
        <f>J60/d_BwAdult</f>
        <v>#N/A</v>
      </c>
      <c r="L60" t="e">
        <f t="shared" ref="L60:L63" si="2">E60*1000</f>
        <v>#N/A</v>
      </c>
    </row>
    <row r="61" spans="2:13">
      <c r="B61" s="831" t="s">
        <v>104</v>
      </c>
      <c r="C61" s="832"/>
      <c r="D61" s="668" t="e">
        <f>D19*i_AbsorpProduct1/1000</f>
        <v>#N/A</v>
      </c>
      <c r="E61" s="256" t="e">
        <f>D61/d_BwAdult</f>
        <v>#N/A</v>
      </c>
      <c r="F61" s="668" t="e">
        <f>F19*i_AbsorpProduct2/1000</f>
        <v>#N/A</v>
      </c>
      <c r="G61" s="256" t="e">
        <f>F61/d_BwAdult</f>
        <v>#N/A</v>
      </c>
      <c r="H61" s="668" t="e">
        <f>H19*i_AbsorpProduct3/1000</f>
        <v>#N/A</v>
      </c>
      <c r="I61" s="256" t="e">
        <f>H61/d_BwAdult</f>
        <v>#N/A</v>
      </c>
      <c r="J61" s="668" t="e">
        <f>J19*i_AbsorpProduct4/1000</f>
        <v>#N/A</v>
      </c>
      <c r="K61" s="256" t="e">
        <f>J61/d_BwAdult</f>
        <v>#N/A</v>
      </c>
      <c r="L61" t="e">
        <f t="shared" si="2"/>
        <v>#N/A</v>
      </c>
    </row>
    <row r="62" spans="2:13">
      <c r="B62" s="831" t="s">
        <v>109</v>
      </c>
      <c r="C62" s="832"/>
      <c r="D62" s="668" t="e">
        <f>D23*i_AbsorpInhalation1/1000</f>
        <v>#N/A</v>
      </c>
      <c r="E62" s="256" t="e">
        <f>D62/d_BwAdult</f>
        <v>#N/A</v>
      </c>
      <c r="F62" s="668" t="e">
        <f>F23*i_AbsorpInhalation1/1000</f>
        <v>#N/A</v>
      </c>
      <c r="G62" s="256" t="e">
        <f>F62/d_BwAdult</f>
        <v>#N/A</v>
      </c>
      <c r="H62" s="668" t="e">
        <f>H23*i_AbsorpInhalation1/1000</f>
        <v>#N/A</v>
      </c>
      <c r="I62" s="256" t="e">
        <f>H62/d_BwAdult</f>
        <v>#N/A</v>
      </c>
      <c r="J62" s="668" t="e">
        <f>J23*i_AbsorpInhalation1/1000</f>
        <v>#N/A</v>
      </c>
      <c r="K62" s="256" t="e">
        <f>J62/d_BwAdult</f>
        <v>#N/A</v>
      </c>
      <c r="L62" t="e">
        <f t="shared" si="2"/>
        <v>#N/A</v>
      </c>
    </row>
    <row r="63" spans="2:13" ht="15" customHeight="1">
      <c r="B63" s="833" t="s">
        <v>449</v>
      </c>
      <c r="C63" s="834"/>
      <c r="D63" s="668" t="e">
        <f>D59+D60+D61+D62</f>
        <v>#N/A</v>
      </c>
      <c r="E63" s="256" t="e">
        <f>D63/d_BwAdult</f>
        <v>#N/A</v>
      </c>
      <c r="F63" s="668" t="e">
        <f>F59+F60+F61+F62</f>
        <v>#N/A</v>
      </c>
      <c r="G63" s="256" t="e">
        <f>F63/d_BwAdult</f>
        <v>#N/A</v>
      </c>
      <c r="H63" s="668" t="e">
        <f>H59+H60+H61+H62</f>
        <v>#N/A</v>
      </c>
      <c r="I63" s="256" t="e">
        <f>H63/d_BwAdult</f>
        <v>#N/A</v>
      </c>
      <c r="J63" s="668" t="e">
        <f>J59+J60+J61+J62</f>
        <v>#N/A</v>
      </c>
      <c r="K63" s="256" t="e">
        <f>J63/d_BwAdult</f>
        <v>#N/A</v>
      </c>
      <c r="L63" t="e">
        <f t="shared" si="2"/>
        <v>#N/A</v>
      </c>
    </row>
    <row r="64" spans="2:13" ht="15" customHeight="1">
      <c r="B64" s="835" t="s">
        <v>450</v>
      </c>
      <c r="C64" s="836"/>
      <c r="D64" s="310"/>
      <c r="E64" s="311"/>
      <c r="F64" s="310"/>
      <c r="G64" s="311"/>
      <c r="H64" s="310"/>
      <c r="I64" s="311"/>
      <c r="J64" s="310"/>
      <c r="K64" s="311"/>
    </row>
    <row r="65" spans="2:12" ht="15" customHeight="1">
      <c r="B65" s="831" t="s">
        <v>418</v>
      </c>
      <c r="C65" s="832"/>
      <c r="D65" s="668" t="e">
        <f>IF(D25="Yes", D20,D17)*i_AbsorpProduct1/1000</f>
        <v>#N/A</v>
      </c>
      <c r="E65" s="256" t="e">
        <f t="shared" ref="E65:E70" si="3">D65/d_BwAdult</f>
        <v>#N/A</v>
      </c>
      <c r="F65" s="668" t="e">
        <f>IF(D25="Yes", F20,F17)*i_AbsorpProduct2/1000</f>
        <v>#N/A</v>
      </c>
      <c r="G65" s="256" t="e">
        <f t="shared" ref="G65:G70" si="4">F65/d_BwAdult</f>
        <v>#N/A</v>
      </c>
      <c r="H65" s="668" t="e">
        <f>IF(D25="Yes", H20,H17)*i_AbsorpProduct3/1000</f>
        <v>#N/A</v>
      </c>
      <c r="I65" s="256" t="e">
        <f t="shared" ref="I65:I70" si="5">H65/d_BwAdult</f>
        <v>#N/A</v>
      </c>
      <c r="J65" s="668" t="e">
        <f>IF(D25="Yes", J20,J17)*i_AbsorpProduct4/1000</f>
        <v>#N/A</v>
      </c>
      <c r="K65" s="256" t="e">
        <f t="shared" ref="K65:K70" si="6">J65/d_BwAdult</f>
        <v>#N/A</v>
      </c>
      <c r="L65" t="e">
        <f>E65*1000</f>
        <v>#N/A</v>
      </c>
    </row>
    <row r="66" spans="2:12" ht="25.5" customHeight="1">
      <c r="B66" s="831" t="s">
        <v>420</v>
      </c>
      <c r="C66" s="832"/>
      <c r="D66" s="668" t="e">
        <f>IF(D26&lt;&gt;"Potential exposure",D21,D18)*i_AbsorpProduct1/1000</f>
        <v>#N/A</v>
      </c>
      <c r="E66" s="256" t="e">
        <f t="shared" si="3"/>
        <v>#N/A</v>
      </c>
      <c r="F66" s="668" t="e">
        <f>IF(D26&lt;&gt;"Potential exposure",F21,F18)*i_AbsorpProduct2/1000</f>
        <v>#N/A</v>
      </c>
      <c r="G66" s="256" t="e">
        <f t="shared" si="4"/>
        <v>#N/A</v>
      </c>
      <c r="H66" s="668" t="e">
        <f>IF(D26&lt;&gt;"Potential exposure",H21,H18)*i_AbsorpProduct3/1000</f>
        <v>#N/A</v>
      </c>
      <c r="I66" s="256" t="e">
        <f t="shared" si="5"/>
        <v>#N/A</v>
      </c>
      <c r="J66" s="668" t="e">
        <f>IF(D26&lt;&gt;"Potential exposure",J21,J18)*i_AbsorpProduct4/1000</f>
        <v>#N/A</v>
      </c>
      <c r="K66" s="256" t="e">
        <f t="shared" si="6"/>
        <v>#N/A</v>
      </c>
      <c r="L66" t="e">
        <f t="shared" ref="L66:L69" si="7">E66*1000</f>
        <v>#N/A</v>
      </c>
    </row>
    <row r="67" spans="2:12">
      <c r="B67" s="831" t="s">
        <v>104</v>
      </c>
      <c r="C67" s="832"/>
      <c r="D67" s="668" t="e">
        <f>IF($D27&lt;&gt;"None",D22*i_AbsorpProduct1,D19*i_AbsorpProduct1)/1000</f>
        <v>#N/A</v>
      </c>
      <c r="E67" s="256" t="e">
        <f t="shared" si="3"/>
        <v>#N/A</v>
      </c>
      <c r="F67" s="668" t="e">
        <f>IF($D27&lt;&gt;"None",F22*i_AbsorpProduct2,F19*i_AbsorpProduct2)/1000</f>
        <v>#N/A</v>
      </c>
      <c r="G67" s="256" t="e">
        <f t="shared" si="4"/>
        <v>#N/A</v>
      </c>
      <c r="H67" s="668" t="e">
        <f>IF($D27&lt;&gt;"None",H22*i_AbsorpProduct3,H19*i_AbsorpProduct3)/1000</f>
        <v>#N/A</v>
      </c>
      <c r="I67" s="256" t="e">
        <f t="shared" si="5"/>
        <v>#N/A</v>
      </c>
      <c r="J67" s="668" t="e">
        <f>IF($D27&lt;&gt;"None",J22*i_AbsorpProduct4,J19*i_AbsorpProduct4)/1000</f>
        <v>#N/A</v>
      </c>
      <c r="K67" s="256" t="e">
        <f t="shared" si="6"/>
        <v>#N/A</v>
      </c>
      <c r="L67" t="e">
        <f t="shared" si="7"/>
        <v>#N/A</v>
      </c>
    </row>
    <row r="68" spans="2:12" ht="15" customHeight="1">
      <c r="B68" s="831" t="s">
        <v>109</v>
      </c>
      <c r="C68" s="832"/>
      <c r="D68" s="668" t="e">
        <f>D23*i_AbsorpInhalation1*$M27/1000</f>
        <v>#N/A</v>
      </c>
      <c r="E68" s="256" t="e">
        <f t="shared" si="3"/>
        <v>#N/A</v>
      </c>
      <c r="F68" s="668" t="e">
        <f>F23*i_AbsorpInhalation2*$M27/1000</f>
        <v>#N/A</v>
      </c>
      <c r="G68" s="256" t="e">
        <f t="shared" si="4"/>
        <v>#N/A</v>
      </c>
      <c r="H68" s="668" t="e">
        <f>H23*i_AbsorpInhalation3*$M27/1000</f>
        <v>#N/A</v>
      </c>
      <c r="I68" s="256" t="e">
        <f t="shared" si="5"/>
        <v>#N/A</v>
      </c>
      <c r="J68" s="668" t="e">
        <f>J23*i_AbsorpInhalation4*$M27/1000</f>
        <v>#N/A</v>
      </c>
      <c r="K68" s="256" t="e">
        <f t="shared" si="6"/>
        <v>#N/A</v>
      </c>
      <c r="L68" t="e">
        <f t="shared" si="7"/>
        <v>#N/A</v>
      </c>
    </row>
    <row r="69" spans="2:12" ht="15" customHeight="1">
      <c r="B69" s="833" t="s">
        <v>449</v>
      </c>
      <c r="C69" s="834"/>
      <c r="D69" s="668" t="e">
        <f>SUM(D65:D68)</f>
        <v>#N/A</v>
      </c>
      <c r="E69" s="256" t="e">
        <f t="shared" si="3"/>
        <v>#N/A</v>
      </c>
      <c r="F69" s="668" t="e">
        <f>SUM(F65:F68)</f>
        <v>#N/A</v>
      </c>
      <c r="G69" s="256" t="e">
        <f t="shared" si="4"/>
        <v>#N/A</v>
      </c>
      <c r="H69" s="668" t="e">
        <f>SUM(H65:H68)</f>
        <v>#N/A</v>
      </c>
      <c r="I69" s="256" t="e">
        <f t="shared" si="5"/>
        <v>#N/A</v>
      </c>
      <c r="J69" s="668" t="e">
        <f>SUM(J65:J68)</f>
        <v>#N/A</v>
      </c>
      <c r="K69" s="256" t="e">
        <f t="shared" si="6"/>
        <v>#N/A</v>
      </c>
      <c r="L69" t="e">
        <f t="shared" si="7"/>
        <v>#N/A</v>
      </c>
    </row>
    <row r="70" spans="2:12" ht="15.75" thickBot="1">
      <c r="B70" s="831" t="s">
        <v>432</v>
      </c>
      <c r="C70" s="832"/>
      <c r="D70" s="672" t="e">
        <f>D69*$L28</f>
        <v>#N/A</v>
      </c>
      <c r="E70" s="298" t="e">
        <f t="shared" si="3"/>
        <v>#N/A</v>
      </c>
      <c r="F70" s="672" t="e">
        <f>F69*$L28</f>
        <v>#N/A</v>
      </c>
      <c r="G70" s="298" t="e">
        <f t="shared" si="4"/>
        <v>#N/A</v>
      </c>
      <c r="H70" s="672" t="e">
        <f>H69*$L28</f>
        <v>#N/A</v>
      </c>
      <c r="I70" s="298" t="e">
        <f t="shared" si="5"/>
        <v>#N/A</v>
      </c>
      <c r="J70" s="672" t="e">
        <f>J69*$L28</f>
        <v>#N/A</v>
      </c>
      <c r="K70" s="298" t="e">
        <f t="shared" si="6"/>
        <v>#N/A</v>
      </c>
    </row>
    <row r="71" spans="2:12" ht="15.75" thickBot="1">
      <c r="B71" s="54"/>
      <c r="C71" s="55"/>
      <c r="D71" s="55"/>
      <c r="E71" s="56"/>
      <c r="F71" s="56"/>
      <c r="G71" s="56"/>
      <c r="H71" s="56"/>
      <c r="I71" s="57"/>
    </row>
    <row r="72" spans="2:12" ht="19.5" thickBot="1">
      <c r="B72" s="841" t="s">
        <v>451</v>
      </c>
      <c r="C72" s="841"/>
      <c r="D72" s="837">
        <f>i_SubstName1</f>
        <v>0</v>
      </c>
      <c r="E72" s="838"/>
      <c r="F72" s="837">
        <f>i_SubstName2</f>
        <v>0</v>
      </c>
      <c r="G72" s="838"/>
      <c r="H72" s="837">
        <f>i_SubstName3</f>
        <v>0</v>
      </c>
      <c r="I72" s="838"/>
      <c r="J72" s="837">
        <f>i_SubstName4</f>
        <v>0</v>
      </c>
      <c r="K72" s="838"/>
    </row>
    <row r="73" spans="2:12">
      <c r="B73" s="839"/>
      <c r="C73" s="840"/>
      <c r="D73" s="656" t="s">
        <v>447</v>
      </c>
      <c r="E73" s="653" t="s">
        <v>448</v>
      </c>
      <c r="F73" s="656" t="s">
        <v>447</v>
      </c>
      <c r="G73" s="653" t="s">
        <v>448</v>
      </c>
      <c r="H73" s="156" t="s">
        <v>447</v>
      </c>
      <c r="I73" s="157" t="s">
        <v>448</v>
      </c>
      <c r="J73" s="152" t="s">
        <v>447</v>
      </c>
      <c r="K73" s="134" t="s">
        <v>448</v>
      </c>
    </row>
    <row r="74" spans="2:12" ht="15" customHeight="1">
      <c r="B74" s="835" t="s">
        <v>437</v>
      </c>
      <c r="C74" s="836"/>
      <c r="D74" s="661"/>
      <c r="E74" s="653"/>
      <c r="F74" s="661"/>
      <c r="G74" s="653"/>
      <c r="H74" s="46"/>
      <c r="I74" s="154"/>
      <c r="J74" s="47"/>
      <c r="K74" s="151"/>
    </row>
    <row r="75" spans="2:12" ht="15" customHeight="1">
      <c r="B75" s="831" t="s">
        <v>418</v>
      </c>
      <c r="C75" s="832"/>
      <c r="D75" s="665" t="e">
        <f>D32*i_AbsorpInuse1/1000</f>
        <v>#N/A</v>
      </c>
      <c r="E75" s="256" t="e">
        <f>D75/d_BwAdult</f>
        <v>#N/A</v>
      </c>
      <c r="F75" s="665" t="e">
        <f>F32*i_AbsorpInuse2/1000</f>
        <v>#N/A</v>
      </c>
      <c r="G75" s="256" t="e">
        <f>F75/d_BwAdult</f>
        <v>#N/A</v>
      </c>
      <c r="H75" s="665" t="e">
        <f>H32*i_AbsorpInuse3/1000</f>
        <v>#N/A</v>
      </c>
      <c r="I75" s="256" t="e">
        <f>H75/d_BwAdult</f>
        <v>#N/A</v>
      </c>
      <c r="J75" s="665" t="e">
        <f>J32*i_AbsorpInuse4/1000</f>
        <v>#N/A</v>
      </c>
      <c r="K75" s="256" t="e">
        <f>J75/d_BwAdult</f>
        <v>#N/A</v>
      </c>
      <c r="L75" t="e">
        <f>E75*1000</f>
        <v>#N/A</v>
      </c>
    </row>
    <row r="76" spans="2:12">
      <c r="B76" s="831" t="s">
        <v>420</v>
      </c>
      <c r="C76" s="832"/>
      <c r="D76" s="665" t="e">
        <f>D33*i_AbsorpInuse1/1000</f>
        <v>#N/A</v>
      </c>
      <c r="E76" s="256" t="e">
        <f>D76/d_BwAdult</f>
        <v>#N/A</v>
      </c>
      <c r="F76" s="665" t="e">
        <f>F33*i_AbsorpInuse2/1000</f>
        <v>#N/A</v>
      </c>
      <c r="G76" s="256" t="e">
        <f>F76/d_BwAdult</f>
        <v>#N/A</v>
      </c>
      <c r="H76" s="665" t="e">
        <f>H33*i_AbsorpInuse3/1000</f>
        <v>#N/A</v>
      </c>
      <c r="I76" s="256" t="e">
        <f>H76/d_BwAdult</f>
        <v>#N/A</v>
      </c>
      <c r="J76" s="665" t="e">
        <f>J33*i_AbsorpInuse4/1000</f>
        <v>#N/A</v>
      </c>
      <c r="K76" s="256" t="e">
        <f>J76/d_BwAdult</f>
        <v>#N/A</v>
      </c>
      <c r="L76" t="e">
        <f t="shared" ref="L76:L79" si="8">E76*1000</f>
        <v>#N/A</v>
      </c>
    </row>
    <row r="77" spans="2:12">
      <c r="B77" s="831" t="s">
        <v>104</v>
      </c>
      <c r="C77" s="832"/>
      <c r="D77" s="665" t="e">
        <f>D34*i_AbsorpInuse1/1000</f>
        <v>#N/A</v>
      </c>
      <c r="E77" s="256" t="e">
        <f>D77/d_BwAdult</f>
        <v>#N/A</v>
      </c>
      <c r="F77" s="665" t="e">
        <f>F34*i_AbsorpInuse2/1000</f>
        <v>#N/A</v>
      </c>
      <c r="G77" s="256" t="e">
        <f>F77/d_BwAdult</f>
        <v>#N/A</v>
      </c>
      <c r="H77" s="665" t="e">
        <f>H34*i_AbsorpInuse3/1000</f>
        <v>#N/A</v>
      </c>
      <c r="I77" s="256" t="e">
        <f>H77/d_BwAdult</f>
        <v>#N/A</v>
      </c>
      <c r="J77" s="665" t="e">
        <f>J34*i_AbsorpInuse4/1000</f>
        <v>#N/A</v>
      </c>
      <c r="K77" s="256" t="e">
        <f>J77/d_BwAdult</f>
        <v>#N/A</v>
      </c>
      <c r="L77" t="e">
        <f t="shared" si="8"/>
        <v>#N/A</v>
      </c>
    </row>
    <row r="78" spans="2:12" ht="15" customHeight="1">
      <c r="B78" s="831" t="s">
        <v>109</v>
      </c>
      <c r="C78" s="832"/>
      <c r="D78" s="665" t="e">
        <f>D37*i_AbsorpInhalation1/1000</f>
        <v>#N/A</v>
      </c>
      <c r="E78" s="256" t="e">
        <f>D78/d_BwAdult</f>
        <v>#N/A</v>
      </c>
      <c r="F78" s="665" t="e">
        <f>F37*i_AbsorpInhalation1/1000</f>
        <v>#N/A</v>
      </c>
      <c r="G78" s="256" t="e">
        <f>F78/d_BwAdult</f>
        <v>#N/A</v>
      </c>
      <c r="H78" s="665" t="e">
        <f>H37*i_AbsorpInhalation1/1000</f>
        <v>#N/A</v>
      </c>
      <c r="I78" s="256" t="e">
        <f>H78/d_BwAdult</f>
        <v>#N/A</v>
      </c>
      <c r="J78" s="665" t="e">
        <f>J37*i_AbsorpInhalation1/1000</f>
        <v>#N/A</v>
      </c>
      <c r="K78" s="256" t="e">
        <f>J78/d_BwAdult</f>
        <v>#N/A</v>
      </c>
      <c r="L78" t="e">
        <f t="shared" si="8"/>
        <v>#N/A</v>
      </c>
    </row>
    <row r="79" spans="2:12" ht="15" customHeight="1">
      <c r="B79" s="833" t="s">
        <v>449</v>
      </c>
      <c r="C79" s="834"/>
      <c r="D79" s="665" t="e">
        <f>D75+D76+D77+D78</f>
        <v>#N/A</v>
      </c>
      <c r="E79" s="256" t="e">
        <f>D79/d_BwAdult</f>
        <v>#N/A</v>
      </c>
      <c r="F79" s="665" t="e">
        <f>F75+F76+F77+F78</f>
        <v>#N/A</v>
      </c>
      <c r="G79" s="256" t="e">
        <f>F79/d_BwAdult</f>
        <v>#N/A</v>
      </c>
      <c r="H79" s="665" t="e">
        <f>H75+H76+H77+H78</f>
        <v>#N/A</v>
      </c>
      <c r="I79" s="256" t="e">
        <f>H79/d_BwAdult</f>
        <v>#N/A</v>
      </c>
      <c r="J79" s="665" t="e">
        <f>J75+J76+J77+J78</f>
        <v>#N/A</v>
      </c>
      <c r="K79" s="256" t="e">
        <f>J79/d_BwAdult</f>
        <v>#N/A</v>
      </c>
      <c r="L79" t="e">
        <f t="shared" si="8"/>
        <v>#N/A</v>
      </c>
    </row>
    <row r="80" spans="2:12">
      <c r="B80" s="835" t="s">
        <v>450</v>
      </c>
      <c r="C80" s="836"/>
      <c r="D80" s="312"/>
      <c r="E80" s="311"/>
      <c r="F80" s="312"/>
      <c r="G80" s="311"/>
      <c r="H80" s="312"/>
      <c r="I80" s="311"/>
      <c r="J80" s="312"/>
      <c r="K80" s="311"/>
    </row>
    <row r="81" spans="2:12">
      <c r="B81" s="831" t="s">
        <v>418</v>
      </c>
      <c r="C81" s="832"/>
      <c r="D81" s="665" t="e">
        <f>IF(D39="Yes", D35,D32)*i_AbsorpInuse1/1000</f>
        <v>#N/A</v>
      </c>
      <c r="E81" s="256" t="e">
        <f>D81/d_BwAdult</f>
        <v>#N/A</v>
      </c>
      <c r="F81" s="665" t="e">
        <f>IF(D39="Yes", F35,F32)*i_AbsorpInuse2/1000</f>
        <v>#N/A</v>
      </c>
      <c r="G81" s="256" t="e">
        <f>F81/d_BwAdult</f>
        <v>#N/A</v>
      </c>
      <c r="H81" s="665" t="e">
        <f>IF(D39="Yes", H35,H32)*i_AbsorpInuse3/1000</f>
        <v>#N/A</v>
      </c>
      <c r="I81" s="256" t="e">
        <f>H81/d_BwAdult</f>
        <v>#N/A</v>
      </c>
      <c r="J81" s="665" t="e">
        <f>IF(D39="Yes", J35,J32)*i_AbsorpInuse4/1000</f>
        <v>#N/A</v>
      </c>
      <c r="K81" s="256" t="e">
        <f>J81/d_BwAdult</f>
        <v>#N/A</v>
      </c>
      <c r="L81" t="e">
        <f>E81*1000</f>
        <v>#N/A</v>
      </c>
    </row>
    <row r="82" spans="2:12" ht="25.5" customHeight="1">
      <c r="B82" s="831" t="s">
        <v>420</v>
      </c>
      <c r="C82" s="832"/>
      <c r="D82" s="665" t="e">
        <f>IF(D40&lt;&gt;"Potential exposure",D36,D33)*i_AbsorpInuse1/1000</f>
        <v>#N/A</v>
      </c>
      <c r="E82" s="256" t="e">
        <f>D82/d_BwAdult</f>
        <v>#N/A</v>
      </c>
      <c r="F82" s="665" t="e">
        <f>IF(D40&lt;&gt;"Potential exposure",F36,F33)*i_AbsorpInuse2/1000</f>
        <v>#N/A</v>
      </c>
      <c r="G82" s="256" t="e">
        <f>F82/d_BwAdult</f>
        <v>#N/A</v>
      </c>
      <c r="H82" s="665" t="e">
        <f>IF(D40&lt;&gt;"Potential exposure",H36,H33)*i_AbsorpInuse3/1000</f>
        <v>#N/A</v>
      </c>
      <c r="I82" s="256" t="e">
        <f>H82/d_BwAdult</f>
        <v>#N/A</v>
      </c>
      <c r="J82" s="665" t="e">
        <f>IF(D40&lt;&gt;"Potential exposure",J36,J33)*i_AbsorpInuse4/1000</f>
        <v>#N/A</v>
      </c>
      <c r="K82" s="256" t="e">
        <f>J82/d_BwAdult</f>
        <v>#N/A</v>
      </c>
      <c r="L82" t="e">
        <f t="shared" ref="L82:L85" si="9">E82*1000</f>
        <v>#N/A</v>
      </c>
    </row>
    <row r="83" spans="2:12" ht="15" customHeight="1">
      <c r="B83" s="831" t="s">
        <v>104</v>
      </c>
      <c r="C83" s="832"/>
      <c r="D83" s="665" t="e">
        <f>D34*i_AbsorpInuse1*$L41/1000</f>
        <v>#N/A</v>
      </c>
      <c r="E83" s="256" t="e">
        <f>D83/d_BwAdult</f>
        <v>#N/A</v>
      </c>
      <c r="F83" s="665" t="e">
        <f>F34*i_AbsorpInuse2*L41/1000</f>
        <v>#N/A</v>
      </c>
      <c r="G83" s="256" t="e">
        <f>F83/d_BwAdult</f>
        <v>#N/A</v>
      </c>
      <c r="H83" s="665" t="e">
        <f>H34*i_AbsorpInuse3*L41/1000</f>
        <v>#N/A</v>
      </c>
      <c r="I83" s="256" t="e">
        <f>H83/d_BwAdult</f>
        <v>#N/A</v>
      </c>
      <c r="J83" s="665" t="e">
        <f>J34*i_AbsorpInuse4*L41/1000</f>
        <v>#N/A</v>
      </c>
      <c r="K83" s="256" t="e">
        <f>J83/d_BwAdult</f>
        <v>#N/A</v>
      </c>
      <c r="L83" t="e">
        <f t="shared" si="9"/>
        <v>#N/A</v>
      </c>
    </row>
    <row r="84" spans="2:12" ht="15" customHeight="1">
      <c r="B84" s="831" t="s">
        <v>109</v>
      </c>
      <c r="C84" s="832"/>
      <c r="D84" s="665" t="e">
        <f>D37*i_AbsorpInhalation1*$M41/1000</f>
        <v>#N/A</v>
      </c>
      <c r="E84" s="256" t="e">
        <f>D84/d_BwAdult</f>
        <v>#N/A</v>
      </c>
      <c r="F84" s="665" t="e">
        <f>F37*i_AbsorpInhalation2*$M41/1000</f>
        <v>#N/A</v>
      </c>
      <c r="G84" s="256" t="e">
        <f>F84/d_BwAdult</f>
        <v>#N/A</v>
      </c>
      <c r="H84" s="665" t="e">
        <f>H37*i_AbsorpInhalation3*$M41/1000</f>
        <v>#N/A</v>
      </c>
      <c r="I84" s="256" t="e">
        <f>H84/d_BwAdult</f>
        <v>#N/A</v>
      </c>
      <c r="J84" s="665" t="e">
        <f>J37*i_AbsorpInhalation4*$M41/1000</f>
        <v>#N/A</v>
      </c>
      <c r="K84" s="256" t="e">
        <f>J84/d_BwAdult</f>
        <v>#N/A</v>
      </c>
      <c r="L84" t="e">
        <f t="shared" si="9"/>
        <v>#N/A</v>
      </c>
    </row>
    <row r="85" spans="2:12" ht="15.75" thickBot="1">
      <c r="B85" s="833" t="s">
        <v>449</v>
      </c>
      <c r="C85" s="834"/>
      <c r="D85" s="285" t="e">
        <f>SUM(D81:D84)</f>
        <v>#N/A</v>
      </c>
      <c r="E85" s="298" t="e">
        <f>D85/d_BwAdult</f>
        <v>#N/A</v>
      </c>
      <c r="F85" s="285" t="e">
        <f>SUM(F81:F84)</f>
        <v>#N/A</v>
      </c>
      <c r="G85" s="298" t="e">
        <f>F85/d_BwAdult</f>
        <v>#N/A</v>
      </c>
      <c r="H85" s="285" t="e">
        <f>SUM(H81:H84)</f>
        <v>#N/A</v>
      </c>
      <c r="I85" s="298" t="e">
        <f>H85/d_BwAdult</f>
        <v>#N/A</v>
      </c>
      <c r="J85" s="285" t="e">
        <f>SUM(J81:J84)</f>
        <v>#N/A</v>
      </c>
      <c r="K85" s="298" t="e">
        <f>J85/d_BwAdult</f>
        <v>#N/A</v>
      </c>
      <c r="L85" t="e">
        <f t="shared" si="9"/>
        <v>#N/A</v>
      </c>
    </row>
    <row r="86" spans="2:12" s="43" customFormat="1">
      <c r="B86"/>
      <c r="C86"/>
      <c r="D86" s="644"/>
      <c r="E86" s="644"/>
      <c r="F86" s="644"/>
      <c r="G86" s="644"/>
      <c r="H86" s="644"/>
    </row>
    <row r="87" spans="2:12" s="43" customFormat="1" ht="15.75" thickBot="1">
      <c r="B87" s="51" t="s">
        <v>452</v>
      </c>
      <c r="C87"/>
      <c r="D87" s="644"/>
      <c r="E87" s="644"/>
      <c r="F87" s="644"/>
      <c r="G87" s="644"/>
      <c r="H87" s="644"/>
    </row>
    <row r="88" spans="2:12" ht="18.75">
      <c r="B88" s="51" t="s">
        <v>453</v>
      </c>
      <c r="D88" s="837">
        <f>i_SubstName1</f>
        <v>0</v>
      </c>
      <c r="E88" s="838"/>
      <c r="F88" s="837">
        <f>i_SubstName2</f>
        <v>0</v>
      </c>
      <c r="G88" s="838"/>
      <c r="H88" s="837">
        <f>i_SubstName3</f>
        <v>0</v>
      </c>
      <c r="I88" s="838"/>
      <c r="J88" s="837">
        <f>i_SubstName4</f>
        <v>0</v>
      </c>
      <c r="K88" s="838"/>
    </row>
    <row r="89" spans="2:12">
      <c r="B89" s="839"/>
      <c r="C89" s="840"/>
      <c r="D89" s="656" t="s">
        <v>447</v>
      </c>
      <c r="E89" s="653" t="s">
        <v>448</v>
      </c>
      <c r="F89" s="656" t="s">
        <v>447</v>
      </c>
      <c r="G89" s="653" t="s">
        <v>448</v>
      </c>
      <c r="H89" s="656" t="s">
        <v>447</v>
      </c>
      <c r="I89" s="653" t="s">
        <v>448</v>
      </c>
      <c r="J89" s="656" t="s">
        <v>447</v>
      </c>
      <c r="K89" s="653" t="s">
        <v>448</v>
      </c>
    </row>
    <row r="90" spans="2:12" ht="15" customHeight="1">
      <c r="B90" s="835" t="s">
        <v>437</v>
      </c>
      <c r="C90" s="836"/>
      <c r="D90" s="661"/>
      <c r="E90" s="653"/>
      <c r="F90" s="661"/>
      <c r="G90" s="653"/>
      <c r="H90" s="661"/>
      <c r="I90" s="653"/>
      <c r="J90" s="661"/>
      <c r="K90" s="653"/>
    </row>
    <row r="91" spans="2:12">
      <c r="B91" s="831" t="s">
        <v>418</v>
      </c>
      <c r="C91" s="832"/>
      <c r="D91" s="665" t="e">
        <f>E17*i_AbsorpProduct1/1000</f>
        <v>#N/A</v>
      </c>
      <c r="E91" s="256" t="e">
        <f>D91/d_BwAdult</f>
        <v>#N/A</v>
      </c>
      <c r="F91" s="665" t="e">
        <f>G17*i_AbsorpProduct2/1000</f>
        <v>#N/A</v>
      </c>
      <c r="G91" s="256" t="e">
        <f>F91/d_BwAdult</f>
        <v>#N/A</v>
      </c>
      <c r="H91" s="665" t="e">
        <f>I17*i_AbsorpProduct3/1000</f>
        <v>#N/A</v>
      </c>
      <c r="I91" s="256" t="e">
        <f>H91/d_BwAdult</f>
        <v>#N/A</v>
      </c>
      <c r="J91" s="665" t="e">
        <f>K17*i_AbsorpProduct4/1000</f>
        <v>#N/A</v>
      </c>
      <c r="K91" s="256" t="e">
        <f>J91/d_BwAdult</f>
        <v>#N/A</v>
      </c>
    </row>
    <row r="92" spans="2:12">
      <c r="B92" s="831" t="s">
        <v>420</v>
      </c>
      <c r="C92" s="832"/>
      <c r="D92" s="665" t="e">
        <f>E18*i_AbsorpProduct1/1000</f>
        <v>#N/A</v>
      </c>
      <c r="E92" s="256" t="e">
        <f>D92/d_BwAdult</f>
        <v>#N/A</v>
      </c>
      <c r="F92" s="665" t="e">
        <f>G18*i_AbsorpProduct2/1000</f>
        <v>#N/A</v>
      </c>
      <c r="G92" s="256" t="e">
        <f>F92/d_BwAdult</f>
        <v>#N/A</v>
      </c>
      <c r="H92" s="665" t="e">
        <f>I18*i_AbsorpProduct3/1000</f>
        <v>#N/A</v>
      </c>
      <c r="I92" s="256" t="e">
        <f>H92/d_BwAdult</f>
        <v>#N/A</v>
      </c>
      <c r="J92" s="665" t="e">
        <f>K18*i_AbsorpProduct4/1000</f>
        <v>#N/A</v>
      </c>
      <c r="K92" s="256" t="e">
        <f>J92/d_BwAdult</f>
        <v>#N/A</v>
      </c>
    </row>
    <row r="93" spans="2:12">
      <c r="B93" s="831" t="s">
        <v>104</v>
      </c>
      <c r="C93" s="832"/>
      <c r="D93" s="665" t="e">
        <f>E19*i_AbsorpProduct1/1000</f>
        <v>#N/A</v>
      </c>
      <c r="E93" s="256" t="e">
        <f>D93/d_BwAdult</f>
        <v>#N/A</v>
      </c>
      <c r="F93" s="665" t="e">
        <f>G19*i_AbsorpProduct2/1000</f>
        <v>#N/A</v>
      </c>
      <c r="G93" s="256" t="e">
        <f>F93/d_BwAdult</f>
        <v>#N/A</v>
      </c>
      <c r="H93" s="665" t="e">
        <f>I19*i_AbsorpProduct3/1000</f>
        <v>#N/A</v>
      </c>
      <c r="I93" s="256" t="e">
        <f>H93/d_BwAdult</f>
        <v>#N/A</v>
      </c>
      <c r="J93" s="665" t="e">
        <f>K19*i_AbsorpProduct4/1000</f>
        <v>#N/A</v>
      </c>
      <c r="K93" s="256" t="e">
        <f>J93/d_BwAdult</f>
        <v>#N/A</v>
      </c>
    </row>
    <row r="94" spans="2:12" ht="15" customHeight="1">
      <c r="B94" s="831" t="s">
        <v>109</v>
      </c>
      <c r="C94" s="832"/>
      <c r="D94" s="665" t="e">
        <f>E23*i_AbsorpInhalation1/1000</f>
        <v>#N/A</v>
      </c>
      <c r="E94" s="256" t="e">
        <f>D94/d_BwAdult</f>
        <v>#N/A</v>
      </c>
      <c r="F94" s="665" t="e">
        <f>G23*i_AbsorpInhalation1/1000</f>
        <v>#N/A</v>
      </c>
      <c r="G94" s="256" t="e">
        <f>F94/d_BwAdult</f>
        <v>#N/A</v>
      </c>
      <c r="H94" s="665" t="e">
        <f>I23*i_AbsorpInhalation1/1000</f>
        <v>#N/A</v>
      </c>
      <c r="I94" s="256" t="e">
        <f>H94/d_BwAdult</f>
        <v>#N/A</v>
      </c>
      <c r="J94" s="665" t="e">
        <f>K23*i_AbsorpInhalation1/1000</f>
        <v>#N/A</v>
      </c>
      <c r="K94" s="256" t="e">
        <f>J94/d_BwAdult</f>
        <v>#N/A</v>
      </c>
    </row>
    <row r="95" spans="2:12" ht="15" customHeight="1">
      <c r="B95" s="833" t="s">
        <v>449</v>
      </c>
      <c r="C95" s="834"/>
      <c r="D95" s="665" t="e">
        <f>D91+D92+D93+D94</f>
        <v>#N/A</v>
      </c>
      <c r="E95" s="256" t="e">
        <f>D95/d_BwAdult</f>
        <v>#N/A</v>
      </c>
      <c r="F95" s="665" t="e">
        <f>F91+F92+F93+F94</f>
        <v>#N/A</v>
      </c>
      <c r="G95" s="256" t="e">
        <f>F95/d_BwAdult</f>
        <v>#N/A</v>
      </c>
      <c r="H95" s="665" t="e">
        <f>H91+H92+H93+H94</f>
        <v>#N/A</v>
      </c>
      <c r="I95" s="256" t="e">
        <f>H95/d_BwAdult</f>
        <v>#N/A</v>
      </c>
      <c r="J95" s="665" t="e">
        <f>J91+J92+J93+J94</f>
        <v>#N/A</v>
      </c>
      <c r="K95" s="256" t="e">
        <f>J95/d_BwAdult</f>
        <v>#N/A</v>
      </c>
    </row>
    <row r="96" spans="2:12" ht="15" customHeight="1">
      <c r="B96" s="835" t="s">
        <v>450</v>
      </c>
      <c r="C96" s="836"/>
      <c r="D96" s="312"/>
      <c r="E96" s="311"/>
      <c r="F96" s="312"/>
      <c r="G96" s="311"/>
      <c r="H96" s="312"/>
      <c r="I96" s="311"/>
      <c r="J96" s="312"/>
      <c r="K96" s="311"/>
    </row>
    <row r="97" spans="2:11" ht="15" customHeight="1">
      <c r="B97" s="831" t="s">
        <v>418</v>
      </c>
      <c r="C97" s="832"/>
      <c r="D97" s="665" t="e">
        <f>IF(D25="Yes", E20,E17)*i_AbsorpProduct1/1000</f>
        <v>#N/A</v>
      </c>
      <c r="E97" s="256" t="e">
        <f t="shared" ref="E97:E102" si="10">D97/d_BwAdult</f>
        <v>#N/A</v>
      </c>
      <c r="F97" s="665" t="e">
        <f>IF(D25="Yes", G20,G17)*i_AbsorpProduct2/1000</f>
        <v>#N/A</v>
      </c>
      <c r="G97" s="256" t="e">
        <f t="shared" ref="G97:G102" si="11">F97/d_BwAdult</f>
        <v>#N/A</v>
      </c>
      <c r="H97" s="665" t="e">
        <f>IF(D25="Yes", I20,I17)*i_AbsorpProduct3/1000</f>
        <v>#N/A</v>
      </c>
      <c r="I97" s="256" t="e">
        <f t="shared" ref="I97:I102" si="12">H97/d_BwAdult</f>
        <v>#N/A</v>
      </c>
      <c r="J97" s="665" t="e">
        <f>IF(D25="Yes", K20,K17)*i_AbsorpProduct4/1000</f>
        <v>#N/A</v>
      </c>
      <c r="K97" s="256" t="e">
        <f t="shared" ref="K97:K102" si="13">J97/d_BwAdult</f>
        <v>#N/A</v>
      </c>
    </row>
    <row r="98" spans="2:11">
      <c r="B98" s="831" t="s">
        <v>420</v>
      </c>
      <c r="C98" s="832"/>
      <c r="D98" s="665" t="e">
        <f>IF(D26="Work wear - arms, body and legs covered",E21,E18)*i_AbsorpProduct1/1000</f>
        <v>#N/A</v>
      </c>
      <c r="E98" s="256" t="e">
        <f t="shared" si="10"/>
        <v>#N/A</v>
      </c>
      <c r="F98" s="665" t="e">
        <f>IF(D26="Work wear - arms, body and legs covered",G21,G18)*i_AbsorpProduct2/1000</f>
        <v>#N/A</v>
      </c>
      <c r="G98" s="256" t="e">
        <f t="shared" si="11"/>
        <v>#N/A</v>
      </c>
      <c r="H98" s="665" t="e">
        <f>IF(D26="Work wear - arms, body and legs covered",I21,I18)*i_AbsorpProduct3/1000</f>
        <v>#N/A</v>
      </c>
      <c r="I98" s="256" t="e">
        <f t="shared" si="12"/>
        <v>#N/A</v>
      </c>
      <c r="J98" s="665" t="e">
        <f>IF(D26="Work wear - arms, body and legs covered",K21,K18)*i_AbsorpProduct4/1000</f>
        <v>#N/A</v>
      </c>
      <c r="K98" s="256" t="e">
        <f t="shared" si="13"/>
        <v>#N/A</v>
      </c>
    </row>
    <row r="99" spans="2:11">
      <c r="B99" s="831" t="s">
        <v>104</v>
      </c>
      <c r="C99" s="832"/>
      <c r="D99" s="665" t="e">
        <f>IF($D27&lt;&gt;"None",E22*i_AbsorpProduct1,E19*i_AbsorpProduct1)/1000</f>
        <v>#N/A</v>
      </c>
      <c r="E99" s="256" t="e">
        <f t="shared" si="10"/>
        <v>#N/A</v>
      </c>
      <c r="F99" s="665" t="e">
        <f>IF($D27&lt;&gt;"None",G22*i_AbsorpProduct2,G19*i_AbsorpProduct2)/1000</f>
        <v>#N/A</v>
      </c>
      <c r="G99" s="256" t="e">
        <f t="shared" si="11"/>
        <v>#N/A</v>
      </c>
      <c r="H99" s="665" t="e">
        <f>IF($D27&lt;&gt;"None",I22*i_AbsorpProduct3,I19*i_AbsorpProduct3)/1000</f>
        <v>#N/A</v>
      </c>
      <c r="I99" s="256" t="e">
        <f t="shared" si="12"/>
        <v>#N/A</v>
      </c>
      <c r="J99" s="665" t="e">
        <f>IF($D27&lt;&gt;"None",K22*i_AbsorpProduct4,K19*i_AbsorpProduct4)/1000</f>
        <v>#N/A</v>
      </c>
      <c r="K99" s="256" t="e">
        <f t="shared" si="13"/>
        <v>#N/A</v>
      </c>
    </row>
    <row r="100" spans="2:11" ht="15" customHeight="1">
      <c r="B100" s="831" t="s">
        <v>109</v>
      </c>
      <c r="C100" s="832"/>
      <c r="D100" s="665" t="e">
        <f>E23*i_AbsorpInhalation1*$M27/1000</f>
        <v>#N/A</v>
      </c>
      <c r="E100" s="256" t="e">
        <f t="shared" si="10"/>
        <v>#N/A</v>
      </c>
      <c r="F100" s="665" t="e">
        <f>G23*i_AbsorpInhalation2*$M27/1000</f>
        <v>#N/A</v>
      </c>
      <c r="G100" s="256" t="e">
        <f t="shared" si="11"/>
        <v>#N/A</v>
      </c>
      <c r="H100" s="665" t="e">
        <f>I23*i_AbsorpInhalation3*$M27/1000</f>
        <v>#N/A</v>
      </c>
      <c r="I100" s="256" t="e">
        <f t="shared" si="12"/>
        <v>#N/A</v>
      </c>
      <c r="J100" s="665" t="e">
        <f>K23*i_AbsorpInhalation4*$M27/1000</f>
        <v>#N/A</v>
      </c>
      <c r="K100" s="256" t="e">
        <f t="shared" si="13"/>
        <v>#N/A</v>
      </c>
    </row>
    <row r="101" spans="2:11" ht="15" customHeight="1">
      <c r="B101" s="833" t="s">
        <v>449</v>
      </c>
      <c r="C101" s="834"/>
      <c r="D101" s="665" t="e">
        <f>SUM(D97:D100)</f>
        <v>#N/A</v>
      </c>
      <c r="E101" s="256" t="e">
        <f t="shared" si="10"/>
        <v>#N/A</v>
      </c>
      <c r="F101" s="665" t="e">
        <f>SUM(F97:F100)</f>
        <v>#N/A</v>
      </c>
      <c r="G101" s="256" t="e">
        <f t="shared" si="11"/>
        <v>#N/A</v>
      </c>
      <c r="H101" s="665" t="e">
        <f>SUM(H97:H100)</f>
        <v>#N/A</v>
      </c>
      <c r="I101" s="256" t="e">
        <f t="shared" si="12"/>
        <v>#N/A</v>
      </c>
      <c r="J101" s="665" t="e">
        <f>SUM(J97:J100)</f>
        <v>#N/A</v>
      </c>
      <c r="K101" s="256" t="e">
        <f t="shared" si="13"/>
        <v>#N/A</v>
      </c>
    </row>
    <row r="102" spans="2:11" ht="15" customHeight="1" thickBot="1">
      <c r="B102" s="831" t="s">
        <v>432</v>
      </c>
      <c r="C102" s="832"/>
      <c r="D102" s="672" t="e">
        <f>D101*$L28</f>
        <v>#N/A</v>
      </c>
      <c r="E102" s="298" t="e">
        <f t="shared" si="10"/>
        <v>#N/A</v>
      </c>
      <c r="F102" s="672" t="e">
        <f>F101*$L28</f>
        <v>#N/A</v>
      </c>
      <c r="G102" s="298" t="e">
        <f t="shared" si="11"/>
        <v>#N/A</v>
      </c>
      <c r="H102" s="285" t="e">
        <f>H101*$L28</f>
        <v>#N/A</v>
      </c>
      <c r="I102" s="298" t="e">
        <f t="shared" si="12"/>
        <v>#N/A</v>
      </c>
      <c r="J102" s="285" t="e">
        <f>J101*$L28</f>
        <v>#N/A</v>
      </c>
      <c r="K102" s="298" t="e">
        <f t="shared" si="13"/>
        <v>#N/A</v>
      </c>
    </row>
    <row r="103" spans="2:11" ht="15.75" thickBot="1">
      <c r="B103" s="54"/>
      <c r="C103" s="55"/>
      <c r="D103" s="55"/>
      <c r="E103" s="56"/>
      <c r="F103" s="56"/>
      <c r="G103" s="56"/>
      <c r="H103" s="56"/>
      <c r="I103" s="57"/>
    </row>
    <row r="104" spans="2:11" ht="19.5" thickBot="1">
      <c r="B104" s="58" t="s">
        <v>451</v>
      </c>
      <c r="C104" s="58"/>
      <c r="D104" s="837">
        <f>i_SubstName1</f>
        <v>0</v>
      </c>
      <c r="E104" s="838"/>
      <c r="F104" s="837">
        <f>i_SubstName2</f>
        <v>0</v>
      </c>
      <c r="G104" s="838"/>
      <c r="H104" s="837">
        <f>i_SubstName3</f>
        <v>0</v>
      </c>
      <c r="I104" s="838"/>
      <c r="J104" s="837">
        <f>i_SubstName4</f>
        <v>0</v>
      </c>
      <c r="K104" s="838"/>
    </row>
    <row r="105" spans="2:11">
      <c r="B105" s="839"/>
      <c r="C105" s="840"/>
      <c r="D105" s="656" t="s">
        <v>447</v>
      </c>
      <c r="E105" s="653" t="s">
        <v>448</v>
      </c>
      <c r="F105" s="656" t="s">
        <v>447</v>
      </c>
      <c r="G105" s="653" t="s">
        <v>448</v>
      </c>
      <c r="H105" s="156" t="s">
        <v>447</v>
      </c>
      <c r="I105" s="157" t="s">
        <v>448</v>
      </c>
      <c r="J105" s="156" t="s">
        <v>447</v>
      </c>
      <c r="K105" s="157" t="s">
        <v>448</v>
      </c>
    </row>
    <row r="106" spans="2:11" ht="15" customHeight="1">
      <c r="B106" s="835" t="s">
        <v>437</v>
      </c>
      <c r="C106" s="836"/>
      <c r="D106" s="661"/>
      <c r="E106" s="653"/>
      <c r="F106" s="661"/>
      <c r="G106" s="653"/>
      <c r="H106" s="150"/>
      <c r="I106" s="154"/>
      <c r="J106" s="150"/>
      <c r="K106" s="154"/>
    </row>
    <row r="107" spans="2:11" ht="15" customHeight="1">
      <c r="B107" s="831" t="s">
        <v>418</v>
      </c>
      <c r="C107" s="832"/>
      <c r="D107" s="665" t="e">
        <f>E32*i_AbsorpInuse1/1000</f>
        <v>#N/A</v>
      </c>
      <c r="E107" s="256" t="e">
        <f>D107/d_BwAdult</f>
        <v>#N/A</v>
      </c>
      <c r="F107" s="665" t="e">
        <f>G32*i_AbsorpInuse2/1000</f>
        <v>#N/A</v>
      </c>
      <c r="G107" s="256" t="e">
        <f>F107/d_BwAdult</f>
        <v>#N/A</v>
      </c>
      <c r="H107" s="665" t="e">
        <f>I32*i_AbsorpInuse3/1000</f>
        <v>#N/A</v>
      </c>
      <c r="I107" s="256" t="e">
        <f>H107/d_BwAdult</f>
        <v>#N/A</v>
      </c>
      <c r="J107" s="665" t="e">
        <f>K32*i_AbsorpInuse4/1000</f>
        <v>#N/A</v>
      </c>
      <c r="K107" s="256" t="e">
        <f>J107/d_BwAdult</f>
        <v>#N/A</v>
      </c>
    </row>
    <row r="108" spans="2:11">
      <c r="B108" s="831" t="s">
        <v>420</v>
      </c>
      <c r="C108" s="832"/>
      <c r="D108" s="665" t="e">
        <f>E33*i_AbsorpInuse1/1000</f>
        <v>#N/A</v>
      </c>
      <c r="E108" s="256" t="e">
        <f>D108/d_BwAdult</f>
        <v>#N/A</v>
      </c>
      <c r="F108" s="665" t="e">
        <f>G33*i_AbsorpInuse2/1000</f>
        <v>#N/A</v>
      </c>
      <c r="G108" s="256" t="e">
        <f>F108/d_BwAdult</f>
        <v>#N/A</v>
      </c>
      <c r="H108" s="665" t="e">
        <f>I33*i_AbsorpInuse3/1000</f>
        <v>#N/A</v>
      </c>
      <c r="I108" s="256" t="e">
        <f>H108/d_BwAdult</f>
        <v>#N/A</v>
      </c>
      <c r="J108" s="665" t="e">
        <f>K33*i_AbsorpInuse4/1000</f>
        <v>#N/A</v>
      </c>
      <c r="K108" s="256" t="e">
        <f>J108/d_BwAdult</f>
        <v>#N/A</v>
      </c>
    </row>
    <row r="109" spans="2:11">
      <c r="B109" s="831" t="s">
        <v>104</v>
      </c>
      <c r="C109" s="832"/>
      <c r="D109" s="665" t="e">
        <f>E34*i_AbsorpInuse1/1000</f>
        <v>#N/A</v>
      </c>
      <c r="E109" s="256" t="e">
        <f>D109/d_BwAdult</f>
        <v>#N/A</v>
      </c>
      <c r="F109" s="665" t="e">
        <f>G34*i_AbsorpInuse2/1000</f>
        <v>#N/A</v>
      </c>
      <c r="G109" s="256" t="e">
        <f>F109/d_BwAdult</f>
        <v>#N/A</v>
      </c>
      <c r="H109" s="665" t="e">
        <f>I34*i_AbsorpInuse3/1000</f>
        <v>#N/A</v>
      </c>
      <c r="I109" s="256" t="e">
        <f>H109/d_BwAdult</f>
        <v>#N/A</v>
      </c>
      <c r="J109" s="665" t="e">
        <f>K34*i_AbsorpInuse4/1000</f>
        <v>#N/A</v>
      </c>
      <c r="K109" s="256" t="e">
        <f>J109/d_BwAdult</f>
        <v>#N/A</v>
      </c>
    </row>
    <row r="110" spans="2:11">
      <c r="B110" s="831" t="s">
        <v>109</v>
      </c>
      <c r="C110" s="832"/>
      <c r="D110" s="665" t="e">
        <f>E37*i_AbsorpInhalation1/1000</f>
        <v>#N/A</v>
      </c>
      <c r="E110" s="256" t="e">
        <f>D110/d_BwAdult</f>
        <v>#N/A</v>
      </c>
      <c r="F110" s="665" t="e">
        <f>G37*i_AbsorpInhalation2/1000</f>
        <v>#N/A</v>
      </c>
      <c r="G110" s="256" t="e">
        <f>F110/d_BwAdult</f>
        <v>#N/A</v>
      </c>
      <c r="H110" s="665" t="e">
        <f>I37*i_AbsorpInhalation3/1000</f>
        <v>#N/A</v>
      </c>
      <c r="I110" s="256" t="e">
        <f>H110/d_BwAdult</f>
        <v>#N/A</v>
      </c>
      <c r="J110" s="665" t="e">
        <f>K37*i_AbsorpInhalation4/1000</f>
        <v>#N/A</v>
      </c>
      <c r="K110" s="256" t="e">
        <f>J110/d_BwAdult</f>
        <v>#N/A</v>
      </c>
    </row>
    <row r="111" spans="2:11" ht="15" customHeight="1">
      <c r="B111" s="833" t="s">
        <v>449</v>
      </c>
      <c r="C111" s="834"/>
      <c r="D111" s="665" t="e">
        <f>D107+D108+D109+D110</f>
        <v>#N/A</v>
      </c>
      <c r="E111" s="256" t="e">
        <f>D111/d_BwAdult</f>
        <v>#N/A</v>
      </c>
      <c r="F111" s="665" t="e">
        <f>F107+F108+F109+F110</f>
        <v>#N/A</v>
      </c>
      <c r="G111" s="256" t="e">
        <f>F111/d_BwAdult</f>
        <v>#N/A</v>
      </c>
      <c r="H111" s="665" t="e">
        <f>H107+H108+H109+H110</f>
        <v>#N/A</v>
      </c>
      <c r="I111" s="256" t="e">
        <f>H111/d_BwAdult</f>
        <v>#N/A</v>
      </c>
      <c r="J111" s="665" t="e">
        <f>J107+J108+J109+J110</f>
        <v>#N/A</v>
      </c>
      <c r="K111" s="256" t="e">
        <f>J111/d_BwAdult</f>
        <v>#N/A</v>
      </c>
    </row>
    <row r="112" spans="2:11">
      <c r="B112" s="835" t="s">
        <v>450</v>
      </c>
      <c r="C112" s="836"/>
      <c r="D112" s="312"/>
      <c r="E112" s="311"/>
      <c r="F112" s="312"/>
      <c r="G112" s="311"/>
      <c r="H112" s="312"/>
      <c r="I112" s="311"/>
      <c r="J112" s="312"/>
      <c r="K112" s="311"/>
    </row>
    <row r="113" spans="2:11">
      <c r="B113" s="831" t="s">
        <v>418</v>
      </c>
      <c r="C113" s="832"/>
      <c r="D113" s="665" t="e">
        <f>IF(D39="Yes",E35,E32)*i_AbsorpInuse1/1000</f>
        <v>#N/A</v>
      </c>
      <c r="E113" s="256" t="e">
        <f>D113/d_BwAdult</f>
        <v>#N/A</v>
      </c>
      <c r="F113" s="665" t="e">
        <f>IF(D39="Yes",G35,G32)*i_AbsorpInuse2/1000</f>
        <v>#N/A</v>
      </c>
      <c r="G113" s="256" t="e">
        <f>F113/d_BwAdult</f>
        <v>#N/A</v>
      </c>
      <c r="H113" s="665" t="e">
        <f>IF(D39="Yes",I35,I32)*i_AbsorpInuse3/1000</f>
        <v>#N/A</v>
      </c>
      <c r="I113" s="256" t="e">
        <f>H113/d_BwAdult</f>
        <v>#N/A</v>
      </c>
      <c r="J113" s="665" t="e">
        <f>IF(D39="Yes",K35,K32)*i_AbsorpInuse4/1000</f>
        <v>#N/A</v>
      </c>
      <c r="K113" s="256" t="e">
        <f>J113/d_BwAdult</f>
        <v>#N/A</v>
      </c>
    </row>
    <row r="114" spans="2:11">
      <c r="B114" s="831" t="s">
        <v>420</v>
      </c>
      <c r="C114" s="832"/>
      <c r="D114" s="665" t="e">
        <f>IF(D40="Work wear - arms, body and legs covered",E36,E33)*i_AbsorpInuse1/1000</f>
        <v>#N/A</v>
      </c>
      <c r="E114" s="256" t="e">
        <f>D114/d_BwAdult</f>
        <v>#N/A</v>
      </c>
      <c r="F114" s="665" t="e">
        <f>IF(D40="Work wear - arms, body and legs covered",G36,G33)*i_AbsorpInuse2/1000</f>
        <v>#N/A</v>
      </c>
      <c r="G114" s="256" t="e">
        <f>F114/d_BwAdult</f>
        <v>#N/A</v>
      </c>
      <c r="H114" s="665" t="e">
        <f>IF(D40="Work wear - arms, body and legs covered",I36,I33)*i_AbsorpInuse3/1000</f>
        <v>#N/A</v>
      </c>
      <c r="I114" s="256" t="e">
        <f>H114/d_BwAdult</f>
        <v>#N/A</v>
      </c>
      <c r="J114" s="665" t="e">
        <f>IF(D40="Work wear - arms, body and legs covered",K36,K33)*i_AbsorpInuse4/1000</f>
        <v>#N/A</v>
      </c>
      <c r="K114" s="256" t="e">
        <f>J114/d_BwAdult</f>
        <v>#N/A</v>
      </c>
    </row>
    <row r="115" spans="2:11">
      <c r="B115" s="831" t="s">
        <v>104</v>
      </c>
      <c r="C115" s="832"/>
      <c r="D115" s="665" t="e">
        <f>E34*i_AbsorpInuse1*$L41/1000</f>
        <v>#N/A</v>
      </c>
      <c r="E115" s="256" t="e">
        <f>D115/d_BwAdult</f>
        <v>#N/A</v>
      </c>
      <c r="F115" s="668" t="e">
        <f>G34*i_AbsorpInuse2*$L41/1000</f>
        <v>#N/A</v>
      </c>
      <c r="G115" s="256" t="e">
        <f>F115/d_BwAdult</f>
        <v>#N/A</v>
      </c>
      <c r="H115" s="665" t="e">
        <f>I34*i_AbsorpInuse3*$L41/1000</f>
        <v>#N/A</v>
      </c>
      <c r="I115" s="256" t="e">
        <f>H115/d_BwAdult</f>
        <v>#N/A</v>
      </c>
      <c r="J115" s="665" t="e">
        <f>K34*i_AbsorpInuse4*$L41/1000</f>
        <v>#N/A</v>
      </c>
      <c r="K115" s="256" t="e">
        <f>J115/d_BwAdult</f>
        <v>#N/A</v>
      </c>
    </row>
    <row r="116" spans="2:11">
      <c r="B116" s="831" t="s">
        <v>109</v>
      </c>
      <c r="C116" s="832"/>
      <c r="D116" s="665" t="e">
        <f>E37*i_AbsorpInhalation1*$M41/1000</f>
        <v>#N/A</v>
      </c>
      <c r="E116" s="256" t="e">
        <f>D116/d_BwAdult</f>
        <v>#N/A</v>
      </c>
      <c r="F116" s="665" t="e">
        <f>G37*i_AbsorpInhalation2*$M41/1000</f>
        <v>#N/A</v>
      </c>
      <c r="G116" s="256" t="e">
        <f>F116/d_BwAdult</f>
        <v>#N/A</v>
      </c>
      <c r="H116" s="665" t="e">
        <f>I37*i_AbsorpInhalation3*$M41/1000</f>
        <v>#N/A</v>
      </c>
      <c r="I116" s="256" t="e">
        <f>H116/d_BwAdult</f>
        <v>#N/A</v>
      </c>
      <c r="J116" s="665" t="e">
        <f>K37*i_AbsorpInhalation4*$M41/1000</f>
        <v>#N/A</v>
      </c>
      <c r="K116" s="256" t="e">
        <f>J116/d_BwAdult</f>
        <v>#N/A</v>
      </c>
    </row>
    <row r="117" spans="2:11" ht="15.75" thickBot="1">
      <c r="B117" s="833" t="s">
        <v>449</v>
      </c>
      <c r="C117" s="834"/>
      <c r="D117" s="285" t="e">
        <f>SUM(D113:D116)</f>
        <v>#N/A</v>
      </c>
      <c r="E117" s="298" t="e">
        <f>D117/d_BwAdult</f>
        <v>#N/A</v>
      </c>
      <c r="F117" s="285" t="e">
        <f>SUM(F113:F116)</f>
        <v>#N/A</v>
      </c>
      <c r="G117" s="298" t="e">
        <f>F117/d_BwAdult</f>
        <v>#N/A</v>
      </c>
      <c r="H117" s="285" t="e">
        <f>SUM(H113:H116)</f>
        <v>#N/A</v>
      </c>
      <c r="I117" s="298" t="e">
        <f>H117/d_BwAdult</f>
        <v>#N/A</v>
      </c>
      <c r="J117" s="285" t="e">
        <f>SUM(J113:J116)</f>
        <v>#N/A</v>
      </c>
      <c r="K117" s="298" t="e">
        <f>J117/d_BwAdult</f>
        <v>#N/A</v>
      </c>
    </row>
  </sheetData>
  <sheetProtection algorithmName="SHA-512" hashValue="KnWsnTlih4ckVtjD1YCYSq+CBRxDIaSjkqR76tpiEOH/d8j6jZGsY1H1n8dS0Wg7EZaKf5Frg2QQ9hvxdXuxiw==" saltValue="lh1skhXN9FrukovhKdg9XQ==" spinCount="100000" sheet="1" objects="1" scenarios="1" formatCells="0" formatColumns="0"/>
  <mergeCells count="150">
    <mergeCell ref="D2:E2"/>
    <mergeCell ref="F2:G2"/>
    <mergeCell ref="H2:I2"/>
    <mergeCell ref="J2:K2"/>
    <mergeCell ref="D3:E3"/>
    <mergeCell ref="F3:G3"/>
    <mergeCell ref="H3:I3"/>
    <mergeCell ref="J3:K3"/>
    <mergeCell ref="D6:E6"/>
    <mergeCell ref="F6:G6"/>
    <mergeCell ref="H6:I6"/>
    <mergeCell ref="J6:K6"/>
    <mergeCell ref="D7:K7"/>
    <mergeCell ref="D8:K8"/>
    <mergeCell ref="D4:E4"/>
    <mergeCell ref="F4:G4"/>
    <mergeCell ref="H4:I4"/>
    <mergeCell ref="J4:K4"/>
    <mergeCell ref="D5:E5"/>
    <mergeCell ref="F5:G5"/>
    <mergeCell ref="H5:I5"/>
    <mergeCell ref="J5:K5"/>
    <mergeCell ref="D9:K9"/>
    <mergeCell ref="D10:K10"/>
    <mergeCell ref="D11:K11"/>
    <mergeCell ref="D12:K12"/>
    <mergeCell ref="B13:M13"/>
    <mergeCell ref="D14:E14"/>
    <mergeCell ref="F14:G14"/>
    <mergeCell ref="H14:I14"/>
    <mergeCell ref="J14:K14"/>
    <mergeCell ref="L15:L16"/>
    <mergeCell ref="M15:M16"/>
    <mergeCell ref="D24:E24"/>
    <mergeCell ref="D25:E25"/>
    <mergeCell ref="D26:E26"/>
    <mergeCell ref="D27:E27"/>
    <mergeCell ref="B15:B28"/>
    <mergeCell ref="C15:C16"/>
    <mergeCell ref="D15:E15"/>
    <mergeCell ref="F15:G15"/>
    <mergeCell ref="H15:I15"/>
    <mergeCell ref="J15:K15"/>
    <mergeCell ref="D28:E28"/>
    <mergeCell ref="L30:L31"/>
    <mergeCell ref="M30:M31"/>
    <mergeCell ref="M32:M37"/>
    <mergeCell ref="D38:E38"/>
    <mergeCell ref="D39:E39"/>
    <mergeCell ref="L39:M39"/>
    <mergeCell ref="B29:B42"/>
    <mergeCell ref="D29:E29"/>
    <mergeCell ref="F29:G29"/>
    <mergeCell ref="H29:I29"/>
    <mergeCell ref="J29:K29"/>
    <mergeCell ref="C30:C31"/>
    <mergeCell ref="D30:E30"/>
    <mergeCell ref="F30:G30"/>
    <mergeCell ref="H30:I30"/>
    <mergeCell ref="J30:K30"/>
    <mergeCell ref="B46:M46"/>
    <mergeCell ref="B47:C47"/>
    <mergeCell ref="B48:C48"/>
    <mergeCell ref="B49:C49"/>
    <mergeCell ref="B50:M50"/>
    <mergeCell ref="B51:C51"/>
    <mergeCell ref="D40:E40"/>
    <mergeCell ref="L40:M40"/>
    <mergeCell ref="D41:E41"/>
    <mergeCell ref="D42:E42"/>
    <mergeCell ref="L42:M42"/>
    <mergeCell ref="D44:E44"/>
    <mergeCell ref="F44:G44"/>
    <mergeCell ref="H44:I44"/>
    <mergeCell ref="J44:K44"/>
    <mergeCell ref="L44:M44"/>
    <mergeCell ref="J56:K56"/>
    <mergeCell ref="B57:C57"/>
    <mergeCell ref="B58:C58"/>
    <mergeCell ref="B59:C59"/>
    <mergeCell ref="B60:C60"/>
    <mergeCell ref="B61:C61"/>
    <mergeCell ref="B52:C52"/>
    <mergeCell ref="E54:F54"/>
    <mergeCell ref="E55:F55"/>
    <mergeCell ref="D56:E56"/>
    <mergeCell ref="F56:G56"/>
    <mergeCell ref="H56:I56"/>
    <mergeCell ref="B68:C68"/>
    <mergeCell ref="B69:C69"/>
    <mergeCell ref="B70:C70"/>
    <mergeCell ref="B72:C72"/>
    <mergeCell ref="D72:E72"/>
    <mergeCell ref="F72:G72"/>
    <mergeCell ref="B62:C62"/>
    <mergeCell ref="B63:C63"/>
    <mergeCell ref="B64:C64"/>
    <mergeCell ref="B65:C65"/>
    <mergeCell ref="B66:C66"/>
    <mergeCell ref="B67:C67"/>
    <mergeCell ref="B77:C77"/>
    <mergeCell ref="B78:C78"/>
    <mergeCell ref="B79:C79"/>
    <mergeCell ref="B80:C80"/>
    <mergeCell ref="B81:C81"/>
    <mergeCell ref="B82:C82"/>
    <mergeCell ref="H72:I72"/>
    <mergeCell ref="J72:K72"/>
    <mergeCell ref="B73:C73"/>
    <mergeCell ref="B74:C74"/>
    <mergeCell ref="B75:C75"/>
    <mergeCell ref="B76:C76"/>
    <mergeCell ref="J88:K88"/>
    <mergeCell ref="B89:C89"/>
    <mergeCell ref="B90:C90"/>
    <mergeCell ref="B91:C91"/>
    <mergeCell ref="B92:C92"/>
    <mergeCell ref="B93:C93"/>
    <mergeCell ref="B83:C83"/>
    <mergeCell ref="B84:C84"/>
    <mergeCell ref="B85:C85"/>
    <mergeCell ref="D88:E88"/>
    <mergeCell ref="F88:G88"/>
    <mergeCell ref="H88:I88"/>
    <mergeCell ref="B100:C100"/>
    <mergeCell ref="B101:C101"/>
    <mergeCell ref="B102:C102"/>
    <mergeCell ref="D104:E104"/>
    <mergeCell ref="F104:G104"/>
    <mergeCell ref="H104:I104"/>
    <mergeCell ref="B94:C94"/>
    <mergeCell ref="B95:C95"/>
    <mergeCell ref="B96:C96"/>
    <mergeCell ref="B97:C97"/>
    <mergeCell ref="B98:C98"/>
    <mergeCell ref="B99:C99"/>
    <mergeCell ref="B116:C116"/>
    <mergeCell ref="B117:C117"/>
    <mergeCell ref="B110:C110"/>
    <mergeCell ref="B111:C111"/>
    <mergeCell ref="B112:C112"/>
    <mergeCell ref="B113:C113"/>
    <mergeCell ref="B114:C114"/>
    <mergeCell ref="B115:C115"/>
    <mergeCell ref="J104:K104"/>
    <mergeCell ref="B105:C105"/>
    <mergeCell ref="B106:C106"/>
    <mergeCell ref="B107:C107"/>
    <mergeCell ref="B108:C108"/>
    <mergeCell ref="B109:C109"/>
  </mergeCells>
  <conditionalFormatting sqref="D47:E48 D51:E52 D59:E63 D65:E70 D75:E79 D81:E85 D91:E95 D107:E111 D113:E117 D97:E102">
    <cfRule type="cellIs" dxfId="5822" priority="239" operator="greaterThanOrEqual">
      <formula>10</formula>
    </cfRule>
    <cfRule type="cellIs" dxfId="5821" priority="240" operator="between">
      <formula>1</formula>
      <formula>10</formula>
    </cfRule>
    <cfRule type="cellIs" dxfId="5820" priority="241" operator="between">
      <formula>0.1</formula>
      <formula>1</formula>
    </cfRule>
    <cfRule type="cellIs" dxfId="5819" priority="242" operator="between">
      <formula>0.001</formula>
      <formula>0.01</formula>
    </cfRule>
    <cfRule type="cellIs" dxfId="5818" priority="243" operator="between">
      <formula>0</formula>
      <formula>0.001</formula>
    </cfRule>
    <cfRule type="cellIs" dxfId="5817" priority="244" operator="between">
      <formula>0.01</formula>
      <formula>0.1</formula>
    </cfRule>
  </conditionalFormatting>
  <conditionalFormatting sqref="D17:E23">
    <cfRule type="cellIs" dxfId="5816" priority="233" operator="between">
      <formula>10</formula>
      <formula>100</formula>
    </cfRule>
    <cfRule type="cellIs" dxfId="5815" priority="234" operator="between">
      <formula>1</formula>
      <formula>10</formula>
    </cfRule>
    <cfRule type="cellIs" dxfId="5814" priority="235" operator="between">
      <formula>0.1</formula>
      <formula>1</formula>
    </cfRule>
    <cfRule type="cellIs" dxfId="5813" priority="236" operator="between">
      <formula>0.001</formula>
      <formula>0.01</formula>
    </cfRule>
    <cfRule type="cellIs" dxfId="5812" priority="237" operator="between">
      <formula>0</formula>
      <formula>0.001</formula>
    </cfRule>
    <cfRule type="cellIs" dxfId="5811" priority="238" operator="between">
      <formula>0.01</formula>
      <formula>0.1</formula>
    </cfRule>
  </conditionalFormatting>
  <conditionalFormatting sqref="D17:K17">
    <cfRule type="cellIs" dxfId="5810" priority="231" operator="greaterThanOrEqual">
      <formula>10000</formula>
    </cfRule>
    <cfRule type="cellIs" dxfId="5809" priority="232" operator="greaterThanOrEqual">
      <formula>100</formula>
    </cfRule>
  </conditionalFormatting>
  <conditionalFormatting sqref="D18:E23">
    <cfRule type="cellIs" dxfId="5808" priority="245" operator="greaterThanOrEqual">
      <formula>100</formula>
    </cfRule>
  </conditionalFormatting>
  <conditionalFormatting sqref="D18:E23">
    <cfRule type="cellIs" dxfId="5807" priority="229" operator="greaterThanOrEqual">
      <formula>10000</formula>
    </cfRule>
    <cfRule type="cellIs" dxfId="5806" priority="230" operator="greaterThanOrEqual">
      <formula>100</formula>
    </cfRule>
  </conditionalFormatting>
  <conditionalFormatting sqref="D32:E37">
    <cfRule type="cellIs" dxfId="5805" priority="222" operator="between">
      <formula>10</formula>
      <formula>100</formula>
    </cfRule>
    <cfRule type="cellIs" dxfId="5804" priority="223" operator="between">
      <formula>1</formula>
      <formula>10</formula>
    </cfRule>
    <cfRule type="cellIs" dxfId="5803" priority="224" operator="between">
      <formula>0.1</formula>
      <formula>1</formula>
    </cfRule>
    <cfRule type="cellIs" dxfId="5802" priority="225" operator="between">
      <formula>0.001</formula>
      <formula>0.01</formula>
    </cfRule>
    <cfRule type="cellIs" dxfId="5801" priority="226" operator="between">
      <formula>0</formula>
      <formula>0.001</formula>
    </cfRule>
    <cfRule type="cellIs" dxfId="5800" priority="227" operator="between">
      <formula>0.01</formula>
      <formula>0.1</formula>
    </cfRule>
  </conditionalFormatting>
  <conditionalFormatting sqref="D32:E37">
    <cfRule type="cellIs" dxfId="5799" priority="228" operator="greaterThanOrEqual">
      <formula>100</formula>
    </cfRule>
  </conditionalFormatting>
  <conditionalFormatting sqref="D32:E37">
    <cfRule type="cellIs" dxfId="5798" priority="220" operator="greaterThanOrEqual">
      <formula>10000</formula>
    </cfRule>
    <cfRule type="cellIs" dxfId="5797" priority="221" operator="greaterThanOrEqual">
      <formula>100</formula>
    </cfRule>
  </conditionalFormatting>
  <conditionalFormatting sqref="D53:G53 L53:M53">
    <cfRule type="cellIs" dxfId="5796" priority="216" operator="between">
      <formula>0.001</formula>
      <formula>0.01</formula>
    </cfRule>
    <cfRule type="cellIs" dxfId="5795" priority="217" operator="between">
      <formula>0.1</formula>
      <formula>1</formula>
    </cfRule>
    <cfRule type="cellIs" dxfId="5794" priority="218" operator="greaterThanOrEqual">
      <formula>1</formula>
    </cfRule>
    <cfRule type="cellIs" dxfId="5793" priority="219" operator="between">
      <formula>0.01</formula>
      <formula>0.1</formula>
    </cfRule>
  </conditionalFormatting>
  <conditionalFormatting sqref="F17:G23">
    <cfRule type="cellIs" dxfId="5792" priority="209" operator="between">
      <formula>10</formula>
      <formula>100</formula>
    </cfRule>
    <cfRule type="cellIs" dxfId="5791" priority="210" operator="between">
      <formula>1</formula>
      <formula>10</formula>
    </cfRule>
    <cfRule type="cellIs" dxfId="5790" priority="211" operator="between">
      <formula>0.1</formula>
      <formula>1</formula>
    </cfRule>
    <cfRule type="cellIs" dxfId="5789" priority="212" operator="between">
      <formula>0.001</formula>
      <formula>0.01</formula>
    </cfRule>
    <cfRule type="cellIs" dxfId="5788" priority="213" operator="between">
      <formula>0</formula>
      <formula>0.001</formula>
    </cfRule>
    <cfRule type="cellIs" dxfId="5787" priority="214" operator="between">
      <formula>0.01</formula>
      <formula>0.1</formula>
    </cfRule>
  </conditionalFormatting>
  <conditionalFormatting sqref="F18:G23">
    <cfRule type="cellIs" dxfId="5786" priority="215" operator="greaterThanOrEqual">
      <formula>100</formula>
    </cfRule>
  </conditionalFormatting>
  <conditionalFormatting sqref="F18:G23">
    <cfRule type="cellIs" dxfId="5785" priority="207" operator="greaterThanOrEqual">
      <formula>10000</formula>
    </cfRule>
    <cfRule type="cellIs" dxfId="5784" priority="208" operator="greaterThanOrEqual">
      <formula>100</formula>
    </cfRule>
  </conditionalFormatting>
  <conditionalFormatting sqref="H17:I23">
    <cfRule type="cellIs" dxfId="5783" priority="200" operator="between">
      <formula>10</formula>
      <formula>100</formula>
    </cfRule>
    <cfRule type="cellIs" dxfId="5782" priority="201" operator="between">
      <formula>1</formula>
      <formula>10</formula>
    </cfRule>
    <cfRule type="cellIs" dxfId="5781" priority="202" operator="between">
      <formula>0.1</formula>
      <formula>1</formula>
    </cfRule>
    <cfRule type="cellIs" dxfId="5780" priority="203" operator="between">
      <formula>0.001</formula>
      <formula>0.01</formula>
    </cfRule>
    <cfRule type="cellIs" dxfId="5779" priority="204" operator="between">
      <formula>0</formula>
      <formula>0.001</formula>
    </cfRule>
    <cfRule type="cellIs" dxfId="5778" priority="205" operator="between">
      <formula>0.01</formula>
      <formula>0.1</formula>
    </cfRule>
  </conditionalFormatting>
  <conditionalFormatting sqref="H18:I23">
    <cfRule type="cellIs" dxfId="5777" priority="206" operator="greaterThanOrEqual">
      <formula>100</formula>
    </cfRule>
  </conditionalFormatting>
  <conditionalFormatting sqref="H18:I23">
    <cfRule type="cellIs" dxfId="5776" priority="198" operator="greaterThanOrEqual">
      <formula>10000</formula>
    </cfRule>
    <cfRule type="cellIs" dxfId="5775" priority="199" operator="greaterThanOrEqual">
      <formula>100</formula>
    </cfRule>
  </conditionalFormatting>
  <conditionalFormatting sqref="J17:K23">
    <cfRule type="cellIs" dxfId="5774" priority="191" operator="between">
      <formula>10</formula>
      <formula>100</formula>
    </cfRule>
    <cfRule type="cellIs" dxfId="5773" priority="192" operator="between">
      <formula>1</formula>
      <formula>10</formula>
    </cfRule>
    <cfRule type="cellIs" dxfId="5772" priority="193" operator="between">
      <formula>0.1</formula>
      <formula>1</formula>
    </cfRule>
    <cfRule type="cellIs" dxfId="5771" priority="194" operator="between">
      <formula>0.001</formula>
      <formula>0.01</formula>
    </cfRule>
    <cfRule type="cellIs" dxfId="5770" priority="195" operator="between">
      <formula>0</formula>
      <formula>0.001</formula>
    </cfRule>
    <cfRule type="cellIs" dxfId="5769" priority="196" operator="between">
      <formula>0.01</formula>
      <formula>0.1</formula>
    </cfRule>
  </conditionalFormatting>
  <conditionalFormatting sqref="J18:K23">
    <cfRule type="cellIs" dxfId="5768" priority="197" operator="greaterThanOrEqual">
      <formula>100</formula>
    </cfRule>
  </conditionalFormatting>
  <conditionalFormatting sqref="J18:K23">
    <cfRule type="cellIs" dxfId="5767" priority="189" operator="greaterThanOrEqual">
      <formula>10000</formula>
    </cfRule>
    <cfRule type="cellIs" dxfId="5766" priority="190" operator="greaterThanOrEqual">
      <formula>100</formula>
    </cfRule>
  </conditionalFormatting>
  <conditionalFormatting sqref="F32:G37">
    <cfRule type="cellIs" dxfId="5765" priority="182" operator="between">
      <formula>10</formula>
      <formula>100</formula>
    </cfRule>
    <cfRule type="cellIs" dxfId="5764" priority="183" operator="between">
      <formula>1</formula>
      <formula>10</formula>
    </cfRule>
    <cfRule type="cellIs" dxfId="5763" priority="184" operator="between">
      <formula>0.1</formula>
      <formula>1</formula>
    </cfRule>
    <cfRule type="cellIs" dxfId="5762" priority="185" operator="between">
      <formula>0.001</formula>
      <formula>0.01</formula>
    </cfRule>
    <cfRule type="cellIs" dxfId="5761" priority="186" operator="between">
      <formula>0</formula>
      <formula>0.001</formula>
    </cfRule>
    <cfRule type="cellIs" dxfId="5760" priority="187" operator="between">
      <formula>0.01</formula>
      <formula>0.1</formula>
    </cfRule>
  </conditionalFormatting>
  <conditionalFormatting sqref="F32:G37">
    <cfRule type="cellIs" dxfId="5759" priority="188" operator="greaterThanOrEqual">
      <formula>100</formula>
    </cfRule>
  </conditionalFormatting>
  <conditionalFormatting sqref="F32:G37">
    <cfRule type="cellIs" dxfId="5758" priority="180" operator="greaterThanOrEqual">
      <formula>10000</formula>
    </cfRule>
    <cfRule type="cellIs" dxfId="5757" priority="181" operator="greaterThanOrEqual">
      <formula>100</formula>
    </cfRule>
  </conditionalFormatting>
  <conditionalFormatting sqref="H32:I37">
    <cfRule type="cellIs" dxfId="5756" priority="173" operator="between">
      <formula>10</formula>
      <formula>100</formula>
    </cfRule>
    <cfRule type="cellIs" dxfId="5755" priority="174" operator="between">
      <formula>1</formula>
      <formula>10</formula>
    </cfRule>
    <cfRule type="cellIs" dxfId="5754" priority="175" operator="between">
      <formula>0.1</formula>
      <formula>1</formula>
    </cfRule>
    <cfRule type="cellIs" dxfId="5753" priority="176" operator="between">
      <formula>0.001</formula>
      <formula>0.01</formula>
    </cfRule>
    <cfRule type="cellIs" dxfId="5752" priority="177" operator="between">
      <formula>0</formula>
      <formula>0.001</formula>
    </cfRule>
    <cfRule type="cellIs" dxfId="5751" priority="178" operator="between">
      <formula>0.01</formula>
      <formula>0.1</formula>
    </cfRule>
  </conditionalFormatting>
  <conditionalFormatting sqref="H32:I37">
    <cfRule type="cellIs" dxfId="5750" priority="179" operator="greaterThanOrEqual">
      <formula>100</formula>
    </cfRule>
  </conditionalFormatting>
  <conditionalFormatting sqref="H32:I37">
    <cfRule type="cellIs" dxfId="5749" priority="171" operator="greaterThanOrEqual">
      <formula>10000</formula>
    </cfRule>
    <cfRule type="cellIs" dxfId="5748" priority="172" operator="greaterThanOrEqual">
      <formula>100</formula>
    </cfRule>
  </conditionalFormatting>
  <conditionalFormatting sqref="J32:K37">
    <cfRule type="cellIs" dxfId="5747" priority="164" operator="between">
      <formula>10</formula>
      <formula>100</formula>
    </cfRule>
    <cfRule type="cellIs" dxfId="5746" priority="165" operator="between">
      <formula>1</formula>
      <formula>10</formula>
    </cfRule>
    <cfRule type="cellIs" dxfId="5745" priority="166" operator="between">
      <formula>0.1</formula>
      <formula>1</formula>
    </cfRule>
    <cfRule type="cellIs" dxfId="5744" priority="167" operator="between">
      <formula>0.001</formula>
      <formula>0.01</formula>
    </cfRule>
    <cfRule type="cellIs" dxfId="5743" priority="168" operator="between">
      <formula>0</formula>
      <formula>0.001</formula>
    </cfRule>
    <cfRule type="cellIs" dxfId="5742" priority="169" operator="between">
      <formula>0.01</formula>
      <formula>0.1</formula>
    </cfRule>
  </conditionalFormatting>
  <conditionalFormatting sqref="J32:K37">
    <cfRule type="cellIs" dxfId="5741" priority="170" operator="greaterThanOrEqual">
      <formula>100</formula>
    </cfRule>
  </conditionalFormatting>
  <conditionalFormatting sqref="J32:K37">
    <cfRule type="cellIs" dxfId="5740" priority="162" operator="greaterThanOrEqual">
      <formula>10000</formula>
    </cfRule>
    <cfRule type="cellIs" dxfId="5739" priority="163" operator="greaterThanOrEqual">
      <formula>100</formula>
    </cfRule>
  </conditionalFormatting>
  <conditionalFormatting sqref="F47:G48 F51:G52">
    <cfRule type="cellIs" dxfId="5738" priority="156" operator="greaterThanOrEqual">
      <formula>10</formula>
    </cfRule>
    <cfRule type="cellIs" dxfId="5737" priority="157" operator="between">
      <formula>1</formula>
      <formula>10</formula>
    </cfRule>
    <cfRule type="cellIs" dxfId="5736" priority="158" operator="between">
      <formula>0.1</formula>
      <formula>1</formula>
    </cfRule>
    <cfRule type="cellIs" dxfId="5735" priority="159" operator="between">
      <formula>0.001</formula>
      <formula>0.01</formula>
    </cfRule>
    <cfRule type="cellIs" dxfId="5734" priority="160" operator="between">
      <formula>0</formula>
      <formula>0.001</formula>
    </cfRule>
    <cfRule type="cellIs" dxfId="5733" priority="161" operator="between">
      <formula>0.01</formula>
      <formula>0.1</formula>
    </cfRule>
  </conditionalFormatting>
  <conditionalFormatting sqref="G67:G68 G70 F59:K63 F65:K66 F69:K69 I67:I68 K67:K68 I70 K70">
    <cfRule type="cellIs" dxfId="5732" priority="150" operator="greaterThanOrEqual">
      <formula>10</formula>
    </cfRule>
    <cfRule type="cellIs" dxfId="5731" priority="151" operator="between">
      <formula>1</formula>
      <formula>10</formula>
    </cfRule>
    <cfRule type="cellIs" dxfId="5730" priority="152" operator="between">
      <formula>0.1</formula>
      <formula>1</formula>
    </cfRule>
    <cfRule type="cellIs" dxfId="5729" priority="153" operator="between">
      <formula>0.001</formula>
      <formula>0.01</formula>
    </cfRule>
    <cfRule type="cellIs" dxfId="5728" priority="154" operator="between">
      <formula>0</formula>
      <formula>0.001</formula>
    </cfRule>
    <cfRule type="cellIs" dxfId="5727" priority="155" operator="between">
      <formula>0.01</formula>
      <formula>0.1</formula>
    </cfRule>
  </conditionalFormatting>
  <conditionalFormatting sqref="F75:G79 F81:G83 F85:G85 G84">
    <cfRule type="cellIs" dxfId="5726" priority="144" operator="greaterThanOrEqual">
      <formula>10</formula>
    </cfRule>
    <cfRule type="cellIs" dxfId="5725" priority="145" operator="between">
      <formula>1</formula>
      <formula>10</formula>
    </cfRule>
    <cfRule type="cellIs" dxfId="5724" priority="146" operator="between">
      <formula>0.1</formula>
      <formula>1</formula>
    </cfRule>
    <cfRule type="cellIs" dxfId="5723" priority="147" operator="between">
      <formula>0.001</formula>
      <formula>0.01</formula>
    </cfRule>
    <cfRule type="cellIs" dxfId="5722" priority="148" operator="between">
      <formula>0</formula>
      <formula>0.001</formula>
    </cfRule>
    <cfRule type="cellIs" dxfId="5721" priority="149" operator="between">
      <formula>0.01</formula>
      <formula>0.1</formula>
    </cfRule>
  </conditionalFormatting>
  <conditionalFormatting sqref="G99:G100 I99:I100 K99:K100 I102 K102 F91:K95 F97:K98 F101:K101">
    <cfRule type="cellIs" dxfId="5720" priority="138" operator="greaterThanOrEqual">
      <formula>10</formula>
    </cfRule>
    <cfRule type="cellIs" dxfId="5719" priority="139" operator="between">
      <formula>1</formula>
      <formula>10</formula>
    </cfRule>
    <cfRule type="cellIs" dxfId="5718" priority="140" operator="between">
      <formula>0.1</formula>
      <formula>1</formula>
    </cfRule>
    <cfRule type="cellIs" dxfId="5717" priority="141" operator="between">
      <formula>0.001</formula>
      <formula>0.01</formula>
    </cfRule>
    <cfRule type="cellIs" dxfId="5716" priority="142" operator="between">
      <formula>0</formula>
      <formula>0.001</formula>
    </cfRule>
    <cfRule type="cellIs" dxfId="5715" priority="143" operator="between">
      <formula>0.01</formula>
      <formula>0.1</formula>
    </cfRule>
  </conditionalFormatting>
  <conditionalFormatting sqref="F107:G111 F113:G114 F117:G117 G115:G116">
    <cfRule type="cellIs" dxfId="5714" priority="132" operator="greaterThanOrEqual">
      <formula>10</formula>
    </cfRule>
    <cfRule type="cellIs" dxfId="5713" priority="133" operator="between">
      <formula>1</formula>
      <formula>10</formula>
    </cfRule>
    <cfRule type="cellIs" dxfId="5712" priority="134" operator="between">
      <formula>0.1</formula>
      <formula>1</formula>
    </cfRule>
    <cfRule type="cellIs" dxfId="5711" priority="135" operator="between">
      <formula>0.001</formula>
      <formula>0.01</formula>
    </cfRule>
    <cfRule type="cellIs" dxfId="5710" priority="136" operator="between">
      <formula>0</formula>
      <formula>0.001</formula>
    </cfRule>
    <cfRule type="cellIs" dxfId="5709" priority="137" operator="between">
      <formula>0.01</formula>
      <formula>0.1</formula>
    </cfRule>
  </conditionalFormatting>
  <conditionalFormatting sqref="F67">
    <cfRule type="cellIs" dxfId="5708" priority="126" operator="greaterThanOrEqual">
      <formula>10</formula>
    </cfRule>
    <cfRule type="cellIs" dxfId="5707" priority="127" operator="between">
      <formula>1</formula>
      <formula>10</formula>
    </cfRule>
    <cfRule type="cellIs" dxfId="5706" priority="128" operator="between">
      <formula>0.1</formula>
      <formula>1</formula>
    </cfRule>
    <cfRule type="cellIs" dxfId="5705" priority="129" operator="between">
      <formula>0.001</formula>
      <formula>0.01</formula>
    </cfRule>
    <cfRule type="cellIs" dxfId="5704" priority="130" operator="between">
      <formula>0</formula>
      <formula>0.001</formula>
    </cfRule>
    <cfRule type="cellIs" dxfId="5703" priority="131" operator="between">
      <formula>0.01</formula>
      <formula>0.1</formula>
    </cfRule>
  </conditionalFormatting>
  <conditionalFormatting sqref="F68">
    <cfRule type="cellIs" dxfId="5702" priority="120" operator="greaterThanOrEqual">
      <formula>10</formula>
    </cfRule>
    <cfRule type="cellIs" dxfId="5701" priority="121" operator="between">
      <formula>1</formula>
      <formula>10</formula>
    </cfRule>
    <cfRule type="cellIs" dxfId="5700" priority="122" operator="between">
      <formula>0.1</formula>
      <formula>1</formula>
    </cfRule>
    <cfRule type="cellIs" dxfId="5699" priority="123" operator="between">
      <formula>0.001</formula>
      <formula>0.01</formula>
    </cfRule>
    <cfRule type="cellIs" dxfId="5698" priority="124" operator="between">
      <formula>0</formula>
      <formula>0.001</formula>
    </cfRule>
    <cfRule type="cellIs" dxfId="5697" priority="125" operator="between">
      <formula>0.01</formula>
      <formula>0.1</formula>
    </cfRule>
  </conditionalFormatting>
  <conditionalFormatting sqref="F70">
    <cfRule type="cellIs" dxfId="5696" priority="114" operator="greaterThanOrEqual">
      <formula>10</formula>
    </cfRule>
    <cfRule type="cellIs" dxfId="5695" priority="115" operator="between">
      <formula>1</formula>
      <formula>10</formula>
    </cfRule>
    <cfRule type="cellIs" dxfId="5694" priority="116" operator="between">
      <formula>0.1</formula>
      <formula>1</formula>
    </cfRule>
    <cfRule type="cellIs" dxfId="5693" priority="117" operator="between">
      <formula>0.001</formula>
      <formula>0.01</formula>
    </cfRule>
    <cfRule type="cellIs" dxfId="5692" priority="118" operator="between">
      <formula>0</formula>
      <formula>0.001</formula>
    </cfRule>
    <cfRule type="cellIs" dxfId="5691" priority="119" operator="between">
      <formula>0.01</formula>
      <formula>0.1</formula>
    </cfRule>
  </conditionalFormatting>
  <conditionalFormatting sqref="F84">
    <cfRule type="cellIs" dxfId="5690" priority="108" operator="greaterThanOrEqual">
      <formula>10</formula>
    </cfRule>
    <cfRule type="cellIs" dxfId="5689" priority="109" operator="between">
      <formula>1</formula>
      <formula>10</formula>
    </cfRule>
    <cfRule type="cellIs" dxfId="5688" priority="110" operator="between">
      <formula>0.1</formula>
      <formula>1</formula>
    </cfRule>
    <cfRule type="cellIs" dxfId="5687" priority="111" operator="between">
      <formula>0.001</formula>
      <formula>0.01</formula>
    </cfRule>
    <cfRule type="cellIs" dxfId="5686" priority="112" operator="between">
      <formula>0</formula>
      <formula>0.001</formula>
    </cfRule>
    <cfRule type="cellIs" dxfId="5685" priority="113" operator="between">
      <formula>0.01</formula>
      <formula>0.1</formula>
    </cfRule>
  </conditionalFormatting>
  <conditionalFormatting sqref="F99">
    <cfRule type="cellIs" dxfId="5684" priority="102" operator="greaterThanOrEqual">
      <formula>10</formula>
    </cfRule>
    <cfRule type="cellIs" dxfId="5683" priority="103" operator="between">
      <formula>1</formula>
      <formula>10</formula>
    </cfRule>
    <cfRule type="cellIs" dxfId="5682" priority="104" operator="between">
      <formula>0.1</formula>
      <formula>1</formula>
    </cfRule>
    <cfRule type="cellIs" dxfId="5681" priority="105" operator="between">
      <formula>0.001</formula>
      <formula>0.01</formula>
    </cfRule>
    <cfRule type="cellIs" dxfId="5680" priority="106" operator="between">
      <formula>0</formula>
      <formula>0.001</formula>
    </cfRule>
    <cfRule type="cellIs" dxfId="5679" priority="107" operator="between">
      <formula>0.01</formula>
      <formula>0.1</formula>
    </cfRule>
  </conditionalFormatting>
  <conditionalFormatting sqref="F100">
    <cfRule type="cellIs" dxfId="5678" priority="96" operator="greaterThanOrEqual">
      <formula>10</formula>
    </cfRule>
    <cfRule type="cellIs" dxfId="5677" priority="97" operator="between">
      <formula>1</formula>
      <formula>10</formula>
    </cfRule>
    <cfRule type="cellIs" dxfId="5676" priority="98" operator="between">
      <formula>0.1</formula>
      <formula>1</formula>
    </cfRule>
    <cfRule type="cellIs" dxfId="5675" priority="99" operator="between">
      <formula>0.001</formula>
      <formula>0.01</formula>
    </cfRule>
    <cfRule type="cellIs" dxfId="5674" priority="100" operator="between">
      <formula>0</formula>
      <formula>0.001</formula>
    </cfRule>
    <cfRule type="cellIs" dxfId="5673" priority="101" operator="between">
      <formula>0.01</formula>
      <formula>0.1</formula>
    </cfRule>
  </conditionalFormatting>
  <conditionalFormatting sqref="F115">
    <cfRule type="cellIs" dxfId="5672" priority="90" operator="greaterThanOrEqual">
      <formula>10</formula>
    </cfRule>
    <cfRule type="cellIs" dxfId="5671" priority="91" operator="between">
      <formula>1</formula>
      <formula>10</formula>
    </cfRule>
    <cfRule type="cellIs" dxfId="5670" priority="92" operator="between">
      <formula>0.1</formula>
      <formula>1</formula>
    </cfRule>
    <cfRule type="cellIs" dxfId="5669" priority="93" operator="between">
      <formula>0.001</formula>
      <formula>0.01</formula>
    </cfRule>
    <cfRule type="cellIs" dxfId="5668" priority="94" operator="between">
      <formula>0</formula>
      <formula>0.001</formula>
    </cfRule>
    <cfRule type="cellIs" dxfId="5667" priority="95" operator="between">
      <formula>0.01</formula>
      <formula>0.1</formula>
    </cfRule>
  </conditionalFormatting>
  <conditionalFormatting sqref="F116">
    <cfRule type="cellIs" dxfId="5666" priority="84" operator="greaterThanOrEqual">
      <formula>10</formula>
    </cfRule>
    <cfRule type="cellIs" dxfId="5665" priority="85" operator="between">
      <formula>1</formula>
      <formula>10</formula>
    </cfRule>
    <cfRule type="cellIs" dxfId="5664" priority="86" operator="between">
      <formula>0.1</formula>
      <formula>1</formula>
    </cfRule>
    <cfRule type="cellIs" dxfId="5663" priority="87" operator="between">
      <formula>0.001</formula>
      <formula>0.01</formula>
    </cfRule>
    <cfRule type="cellIs" dxfId="5662" priority="88" operator="between">
      <formula>0</formula>
      <formula>0.001</formula>
    </cfRule>
    <cfRule type="cellIs" dxfId="5661" priority="89" operator="between">
      <formula>0.01</formula>
      <formula>0.1</formula>
    </cfRule>
  </conditionalFormatting>
  <conditionalFormatting sqref="D49:M49">
    <cfRule type="cellIs" dxfId="5660" priority="80" operator="between">
      <formula>0.001</formula>
      <formula>0.01</formula>
    </cfRule>
    <cfRule type="cellIs" dxfId="5659" priority="81" operator="between">
      <formula>0.1</formula>
      <formula>1</formula>
    </cfRule>
    <cfRule type="cellIs" dxfId="5658" priority="82" operator="greaterThanOrEqual">
      <formula>1</formula>
    </cfRule>
    <cfRule type="cellIs" dxfId="5657" priority="83" operator="between">
      <formula>0.01</formula>
      <formula>0.1</formula>
    </cfRule>
  </conditionalFormatting>
  <conditionalFormatting sqref="H67 J67">
    <cfRule type="cellIs" dxfId="5656" priority="74" operator="greaterThanOrEqual">
      <formula>10</formula>
    </cfRule>
    <cfRule type="cellIs" dxfId="5655" priority="75" operator="between">
      <formula>1</formula>
      <formula>10</formula>
    </cfRule>
    <cfRule type="cellIs" dxfId="5654" priority="76" operator="between">
      <formula>0.1</formula>
      <formula>1</formula>
    </cfRule>
    <cfRule type="cellIs" dxfId="5653" priority="77" operator="between">
      <formula>0.001</formula>
      <formula>0.01</formula>
    </cfRule>
    <cfRule type="cellIs" dxfId="5652" priority="78" operator="between">
      <formula>0</formula>
      <formula>0.001</formula>
    </cfRule>
    <cfRule type="cellIs" dxfId="5651" priority="79" operator="between">
      <formula>0.01</formula>
      <formula>0.1</formula>
    </cfRule>
  </conditionalFormatting>
  <conditionalFormatting sqref="H68 J68">
    <cfRule type="cellIs" dxfId="5650" priority="68" operator="greaterThanOrEqual">
      <formula>10</formula>
    </cfRule>
    <cfRule type="cellIs" dxfId="5649" priority="69" operator="between">
      <formula>1</formula>
      <formula>10</formula>
    </cfRule>
    <cfRule type="cellIs" dxfId="5648" priority="70" operator="between">
      <formula>0.1</formula>
      <formula>1</formula>
    </cfRule>
    <cfRule type="cellIs" dxfId="5647" priority="71" operator="between">
      <formula>0.001</formula>
      <formula>0.01</formula>
    </cfRule>
    <cfRule type="cellIs" dxfId="5646" priority="72" operator="between">
      <formula>0</formula>
      <formula>0.001</formula>
    </cfRule>
    <cfRule type="cellIs" dxfId="5645" priority="73" operator="between">
      <formula>0.01</formula>
      <formula>0.1</formula>
    </cfRule>
  </conditionalFormatting>
  <conditionalFormatting sqref="H70 J70">
    <cfRule type="cellIs" dxfId="5644" priority="62" operator="greaterThanOrEqual">
      <formula>10</formula>
    </cfRule>
    <cfRule type="cellIs" dxfId="5643" priority="63" operator="between">
      <formula>1</formula>
      <formula>10</formula>
    </cfRule>
    <cfRule type="cellIs" dxfId="5642" priority="64" operator="between">
      <formula>0.1</formula>
      <formula>1</formula>
    </cfRule>
    <cfRule type="cellIs" dxfId="5641" priority="65" operator="between">
      <formula>0.001</formula>
      <formula>0.01</formula>
    </cfRule>
    <cfRule type="cellIs" dxfId="5640" priority="66" operator="between">
      <formula>0</formula>
      <formula>0.001</formula>
    </cfRule>
    <cfRule type="cellIs" dxfId="5639" priority="67" operator="between">
      <formula>0.01</formula>
      <formula>0.1</formula>
    </cfRule>
  </conditionalFormatting>
  <conditionalFormatting sqref="H47:K48">
    <cfRule type="cellIs" dxfId="5638" priority="56" operator="greaterThanOrEqual">
      <formula>10</formula>
    </cfRule>
    <cfRule type="cellIs" dxfId="5637" priority="57" operator="between">
      <formula>1</formula>
      <formula>10</formula>
    </cfRule>
    <cfRule type="cellIs" dxfId="5636" priority="58" operator="between">
      <formula>0.1</formula>
      <formula>1</formula>
    </cfRule>
    <cfRule type="cellIs" dxfId="5635" priority="59" operator="between">
      <formula>0.001</formula>
      <formula>0.01</formula>
    </cfRule>
    <cfRule type="cellIs" dxfId="5634" priority="60" operator="between">
      <formula>0</formula>
      <formula>0.001</formula>
    </cfRule>
    <cfRule type="cellIs" dxfId="5633" priority="61" operator="between">
      <formula>0.01</formula>
      <formula>0.1</formula>
    </cfRule>
  </conditionalFormatting>
  <conditionalFormatting sqref="H53:K53">
    <cfRule type="cellIs" dxfId="5632" priority="52" operator="between">
      <formula>0.001</formula>
      <formula>0.01</formula>
    </cfRule>
    <cfRule type="cellIs" dxfId="5631" priority="53" operator="between">
      <formula>0.1</formula>
      <formula>1</formula>
    </cfRule>
    <cfRule type="cellIs" dxfId="5630" priority="54" operator="greaterThanOrEqual">
      <formula>1</formula>
    </cfRule>
    <cfRule type="cellIs" dxfId="5629" priority="55" operator="between">
      <formula>0.01</formula>
      <formula>0.1</formula>
    </cfRule>
  </conditionalFormatting>
  <conditionalFormatting sqref="H51:K52">
    <cfRule type="cellIs" dxfId="5628" priority="46" operator="greaterThanOrEqual">
      <formula>10</formula>
    </cfRule>
    <cfRule type="cellIs" dxfId="5627" priority="47" operator="between">
      <formula>1</formula>
      <formula>10</formula>
    </cfRule>
    <cfRule type="cellIs" dxfId="5626" priority="48" operator="between">
      <formula>0.1</formula>
      <formula>1</formula>
    </cfRule>
    <cfRule type="cellIs" dxfId="5625" priority="49" operator="between">
      <formula>0.001</formula>
      <formula>0.01</formula>
    </cfRule>
    <cfRule type="cellIs" dxfId="5624" priority="50" operator="between">
      <formula>0</formula>
      <formula>0.001</formula>
    </cfRule>
    <cfRule type="cellIs" dxfId="5623" priority="51" operator="between">
      <formula>0.01</formula>
      <formula>0.1</formula>
    </cfRule>
  </conditionalFormatting>
  <conditionalFormatting sqref="H75:K79 H81:K85">
    <cfRule type="cellIs" dxfId="5622" priority="40" operator="greaterThanOrEqual">
      <formula>10</formula>
    </cfRule>
    <cfRule type="cellIs" dxfId="5621" priority="41" operator="between">
      <formula>1</formula>
      <formula>10</formula>
    </cfRule>
    <cfRule type="cellIs" dxfId="5620" priority="42" operator="between">
      <formula>0.1</formula>
      <formula>1</formula>
    </cfRule>
    <cfRule type="cellIs" dxfId="5619" priority="43" operator="between">
      <formula>0.001</formula>
      <formula>0.01</formula>
    </cfRule>
    <cfRule type="cellIs" dxfId="5618" priority="44" operator="between">
      <formula>0</formula>
      <formula>0.001</formula>
    </cfRule>
    <cfRule type="cellIs" dxfId="5617" priority="45" operator="between">
      <formula>0.01</formula>
      <formula>0.1</formula>
    </cfRule>
  </conditionalFormatting>
  <conditionalFormatting sqref="H107:K111 H113:K117">
    <cfRule type="cellIs" dxfId="5616" priority="34" operator="greaterThanOrEqual">
      <formula>10</formula>
    </cfRule>
    <cfRule type="cellIs" dxfId="5615" priority="35" operator="between">
      <formula>1</formula>
      <formula>10</formula>
    </cfRule>
    <cfRule type="cellIs" dxfId="5614" priority="36" operator="between">
      <formula>0.1</formula>
      <formula>1</formula>
    </cfRule>
    <cfRule type="cellIs" dxfId="5613" priority="37" operator="between">
      <formula>0.001</formula>
      <formula>0.01</formula>
    </cfRule>
    <cfRule type="cellIs" dxfId="5612" priority="38" operator="between">
      <formula>0</formula>
      <formula>0.001</formula>
    </cfRule>
    <cfRule type="cellIs" dxfId="5611" priority="39" operator="between">
      <formula>0.01</formula>
      <formula>0.1</formula>
    </cfRule>
  </conditionalFormatting>
  <conditionalFormatting sqref="H99 J99">
    <cfRule type="cellIs" dxfId="5610" priority="28" operator="greaterThanOrEqual">
      <formula>10</formula>
    </cfRule>
    <cfRule type="cellIs" dxfId="5609" priority="29" operator="between">
      <formula>1</formula>
      <formula>10</formula>
    </cfRule>
    <cfRule type="cellIs" dxfId="5608" priority="30" operator="between">
      <formula>0.1</formula>
      <formula>1</formula>
    </cfRule>
    <cfRule type="cellIs" dxfId="5607" priority="31" operator="between">
      <formula>0.001</formula>
      <formula>0.01</formula>
    </cfRule>
    <cfRule type="cellIs" dxfId="5606" priority="32" operator="between">
      <formula>0</formula>
      <formula>0.001</formula>
    </cfRule>
    <cfRule type="cellIs" dxfId="5605" priority="33" operator="between">
      <formula>0.01</formula>
      <formula>0.1</formula>
    </cfRule>
  </conditionalFormatting>
  <conditionalFormatting sqref="H100 J100">
    <cfRule type="cellIs" dxfId="5604" priority="22" operator="greaterThanOrEqual">
      <formula>10</formula>
    </cfRule>
    <cfRule type="cellIs" dxfId="5603" priority="23" operator="between">
      <formula>1</formula>
      <formula>10</formula>
    </cfRule>
    <cfRule type="cellIs" dxfId="5602" priority="24" operator="between">
      <formula>0.1</formula>
      <formula>1</formula>
    </cfRule>
    <cfRule type="cellIs" dxfId="5601" priority="25" operator="between">
      <formula>0.001</formula>
      <formula>0.01</formula>
    </cfRule>
    <cfRule type="cellIs" dxfId="5600" priority="26" operator="between">
      <formula>0</formula>
      <formula>0.001</formula>
    </cfRule>
    <cfRule type="cellIs" dxfId="5599" priority="27" operator="between">
      <formula>0.01</formula>
      <formula>0.1</formula>
    </cfRule>
  </conditionalFormatting>
  <conditionalFormatting sqref="H102 J102">
    <cfRule type="cellIs" dxfId="5598" priority="16" operator="greaterThanOrEqual">
      <formula>10</formula>
    </cfRule>
    <cfRule type="cellIs" dxfId="5597" priority="17" operator="between">
      <formula>1</formula>
      <formula>10</formula>
    </cfRule>
    <cfRule type="cellIs" dxfId="5596" priority="18" operator="between">
      <formula>0.1</formula>
      <formula>1</formula>
    </cfRule>
    <cfRule type="cellIs" dxfId="5595" priority="19" operator="between">
      <formula>0.001</formula>
      <formula>0.01</formula>
    </cfRule>
    <cfRule type="cellIs" dxfId="5594" priority="20" operator="between">
      <formula>0</formula>
      <formula>0.001</formula>
    </cfRule>
    <cfRule type="cellIs" dxfId="5593" priority="21" operator="between">
      <formula>0.01</formula>
      <formula>0.1</formula>
    </cfRule>
  </conditionalFormatting>
  <conditionalFormatting sqref="B70:G70">
    <cfRule type="expression" dxfId="5592" priority="15">
      <formula>$D$28="No"</formula>
    </cfRule>
  </conditionalFormatting>
  <conditionalFormatting sqref="B102:G102">
    <cfRule type="expression" dxfId="5591" priority="2">
      <formula>$D$28="No"</formula>
    </cfRule>
  </conditionalFormatting>
  <conditionalFormatting sqref="A2:M117">
    <cfRule type="expression" dxfId="5590" priority="1">
      <formula>i_FormVal="Granules, fine granules"</formula>
    </cfRule>
  </conditionalFormatting>
  <pageMargins left="0.7" right="0.7" top="0.75" bottom="0.75" header="0.51180555555555496" footer="0.51180555555555496"/>
  <pageSetup paperSize="9" scale="93" firstPageNumber="0" orientation="landscape" horizontalDpi="300" verticalDpi="300" r:id="rId1"/>
  <headerFooter>
    <oddFooter>&amp;C&amp;1#&amp;"Arial"&amp;10&amp;K000000---Internal Use---</oddFooter>
  </headerFooter>
  <rowBreaks count="1" manualBreakCount="1">
    <brk id="51"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CD4D2C-3F11-4EA4-B159-30E476435A50}">
  <sheetPr codeName="Tabelle35"/>
  <dimension ref="A1:W117"/>
  <sheetViews>
    <sheetView workbookViewId="0"/>
  </sheetViews>
  <sheetFormatPr defaultColWidth="8.140625" defaultRowHeight="15"/>
  <cols>
    <col min="4" max="4" width="22.140625" customWidth="1"/>
    <col min="5" max="5" width="20.7109375" customWidth="1"/>
    <col min="6" max="11" width="8.140625" customWidth="1"/>
  </cols>
  <sheetData>
    <row r="1" spans="1:13" ht="21.75" thickBot="1">
      <c r="B1" s="22" t="str">
        <f>"Operator exposure for "&amp;i_ProductName &amp; " spray applications"</f>
        <v>Operator exposure for  spray applications</v>
      </c>
      <c r="F1" s="277" t="str">
        <f>IF(i_FormVal &lt;&gt; "Granules, fine granules","","This sheet is only to be used for spray applications")</f>
        <v/>
      </c>
      <c r="I1" s="67"/>
      <c r="J1" s="215"/>
      <c r="K1" s="113"/>
    </row>
    <row r="2" spans="1:13" ht="15" customHeight="1">
      <c r="A2" s="27"/>
      <c r="B2" s="213"/>
      <c r="C2" s="214"/>
      <c r="D2" s="897">
        <f>i_SubstName1</f>
        <v>0</v>
      </c>
      <c r="E2" s="898"/>
      <c r="F2" s="897">
        <f>i_SubstName2</f>
        <v>0</v>
      </c>
      <c r="G2" s="898"/>
      <c r="H2" s="897">
        <f>i_SubstName3</f>
        <v>0</v>
      </c>
      <c r="I2" s="899"/>
      <c r="J2" s="897">
        <f>i_SubstName4</f>
        <v>0</v>
      </c>
      <c r="K2" s="898"/>
      <c r="L2" s="210"/>
      <c r="M2" s="211"/>
    </row>
    <row r="3" spans="1:13">
      <c r="A3" s="27"/>
      <c r="B3" s="28" t="s">
        <v>400</v>
      </c>
      <c r="C3" s="679"/>
      <c r="D3" s="892">
        <f>i_AppRateAS1*0.1</f>
        <v>0</v>
      </c>
      <c r="E3" s="893"/>
      <c r="F3" s="892">
        <f>i_AppRateAS2*0.1</f>
        <v>0</v>
      </c>
      <c r="G3" s="893"/>
      <c r="H3" s="892">
        <f>i_AppRateAS3*0.1</f>
        <v>0</v>
      </c>
      <c r="I3" s="900"/>
      <c r="J3" s="892">
        <f>i_AppRateAS4*0.1</f>
        <v>0</v>
      </c>
      <c r="K3" s="893"/>
      <c r="L3" s="28" t="s">
        <v>347</v>
      </c>
      <c r="M3" s="74" t="s">
        <v>401</v>
      </c>
    </row>
    <row r="4" spans="1:13">
      <c r="A4" s="27"/>
      <c r="B4" s="28" t="s">
        <v>402</v>
      </c>
      <c r="C4" s="679"/>
      <c r="D4" s="892">
        <f>d_AreaTreated*i_AppRateAS1</f>
        <v>0</v>
      </c>
      <c r="E4" s="893"/>
      <c r="F4" s="892">
        <f>d_AreaTreated*i_AppRateAS2</f>
        <v>0</v>
      </c>
      <c r="G4" s="893"/>
      <c r="H4" s="892">
        <f>d_AreaTreated*i_AppRateAS3</f>
        <v>0</v>
      </c>
      <c r="I4" s="893"/>
      <c r="J4" s="892">
        <f>d_AreaTreated*i_AppRateAS4</f>
        <v>0</v>
      </c>
      <c r="K4" s="893"/>
      <c r="L4" s="28" t="s">
        <v>403</v>
      </c>
      <c r="M4" s="74" t="s">
        <v>404</v>
      </c>
    </row>
    <row r="5" spans="1:13">
      <c r="A5" s="27"/>
      <c r="B5" s="28" t="s">
        <v>405</v>
      </c>
      <c r="C5" s="679"/>
      <c r="D5" s="894">
        <f>i_AbsorpProduct1</f>
        <v>0</v>
      </c>
      <c r="E5" s="895"/>
      <c r="F5" s="894">
        <f>i_AbsorpProduct2</f>
        <v>0</v>
      </c>
      <c r="G5" s="895"/>
      <c r="H5" s="894">
        <f>i_AbsorpProduct3</f>
        <v>0</v>
      </c>
      <c r="I5" s="896"/>
      <c r="J5" s="894">
        <f>i_AbsorpProduct4</f>
        <v>0</v>
      </c>
      <c r="K5" s="895"/>
      <c r="L5" s="216"/>
      <c r="M5" s="163" t="s">
        <v>406</v>
      </c>
    </row>
    <row r="6" spans="1:13" ht="15.75" thickBot="1">
      <c r="A6" s="27"/>
      <c r="B6" s="28" t="s">
        <v>355</v>
      </c>
      <c r="C6" s="679"/>
      <c r="D6" s="901">
        <f>i_AbsorpInuse1</f>
        <v>0</v>
      </c>
      <c r="E6" s="902"/>
      <c r="F6" s="901">
        <f>i_AbsorpInuse2</f>
        <v>0</v>
      </c>
      <c r="G6" s="902"/>
      <c r="H6" s="901">
        <f>i_AbsorpInuse3</f>
        <v>0</v>
      </c>
      <c r="I6" s="903"/>
      <c r="J6" s="901">
        <f>i_AbsorpInuse4</f>
        <v>0</v>
      </c>
      <c r="K6" s="902"/>
      <c r="L6" s="216"/>
      <c r="M6" s="163" t="s">
        <v>407</v>
      </c>
    </row>
    <row r="7" spans="1:13" ht="18.75">
      <c r="A7" s="27"/>
      <c r="B7" s="28" t="s">
        <v>311</v>
      </c>
      <c r="C7" s="679"/>
      <c r="D7" s="881">
        <f>i_FormVal</f>
        <v>0</v>
      </c>
      <c r="E7" s="882"/>
      <c r="F7" s="882"/>
      <c r="G7" s="882"/>
      <c r="H7" s="882"/>
      <c r="I7" s="882"/>
      <c r="J7" s="882"/>
      <c r="K7" s="883"/>
      <c r="L7" s="217"/>
      <c r="M7" s="163"/>
    </row>
    <row r="8" spans="1:13" ht="18.75">
      <c r="A8" s="27"/>
      <c r="B8" s="28" t="s">
        <v>321</v>
      </c>
      <c r="C8" s="679"/>
      <c r="D8" s="881">
        <f>'Data entry'!D8</f>
        <v>0</v>
      </c>
      <c r="E8" s="882"/>
      <c r="F8" s="882"/>
      <c r="G8" s="882"/>
      <c r="H8" s="882"/>
      <c r="I8" s="882"/>
      <c r="J8" s="882"/>
      <c r="K8" s="883"/>
      <c r="L8" s="217"/>
      <c r="M8" s="163"/>
    </row>
    <row r="9" spans="1:13" ht="18.75">
      <c r="A9" s="27"/>
      <c r="B9" s="28" t="s">
        <v>331</v>
      </c>
      <c r="C9" s="679"/>
      <c r="D9" s="881">
        <f>i_AppMeth</f>
        <v>0</v>
      </c>
      <c r="E9" s="882"/>
      <c r="F9" s="882"/>
      <c r="G9" s="882"/>
      <c r="H9" s="882"/>
      <c r="I9" s="882"/>
      <c r="J9" s="882"/>
      <c r="K9" s="883"/>
      <c r="L9" s="217"/>
      <c r="M9" s="163"/>
    </row>
    <row r="10" spans="1:13" ht="18.75">
      <c r="A10" s="27"/>
      <c r="B10" s="28" t="s">
        <v>332</v>
      </c>
      <c r="C10" s="679"/>
      <c r="D10" s="881">
        <f>i_AppEquip</f>
        <v>0</v>
      </c>
      <c r="E10" s="882"/>
      <c r="F10" s="882"/>
      <c r="G10" s="882"/>
      <c r="H10" s="882"/>
      <c r="I10" s="882"/>
      <c r="J10" s="882"/>
      <c r="K10" s="883"/>
      <c r="L10" s="217"/>
      <c r="M10" s="163"/>
    </row>
    <row r="11" spans="1:13">
      <c r="A11" s="27"/>
      <c r="B11" s="28" t="s">
        <v>408</v>
      </c>
      <c r="C11" s="679"/>
      <c r="D11" s="881">
        <f>d_AreaTreated</f>
        <v>1</v>
      </c>
      <c r="E11" s="882"/>
      <c r="F11" s="882"/>
      <c r="G11" s="882"/>
      <c r="H11" s="882"/>
      <c r="I11" s="882"/>
      <c r="J11" s="882"/>
      <c r="K11" s="883"/>
      <c r="L11" s="28" t="s">
        <v>409</v>
      </c>
      <c r="M11" s="74" t="s">
        <v>410</v>
      </c>
    </row>
    <row r="12" spans="1:13" ht="19.5" thickBot="1">
      <c r="A12" s="27"/>
      <c r="B12" s="68" t="s">
        <v>411</v>
      </c>
      <c r="C12" s="66"/>
      <c r="D12" s="884" t="str">
        <f>i_Season</f>
        <v>not relevant</v>
      </c>
      <c r="E12" s="885"/>
      <c r="F12" s="885"/>
      <c r="G12" s="885"/>
      <c r="H12" s="885"/>
      <c r="I12" s="885"/>
      <c r="J12" s="885"/>
      <c r="K12" s="886"/>
      <c r="L12" s="218"/>
      <c r="M12" s="164"/>
    </row>
    <row r="13" spans="1:13" ht="31.5" customHeight="1" thickBot="1">
      <c r="A13" s="27"/>
      <c r="B13" s="887" t="str">
        <f>i_IndoorOutdoor&amp;i_FormVal&amp;i_AppMeth&amp;"Manual-Hand held"</f>
        <v>Manual-Hand held</v>
      </c>
      <c r="C13" s="888"/>
      <c r="D13" s="888"/>
      <c r="E13" s="888"/>
      <c r="F13" s="888"/>
      <c r="G13" s="888"/>
      <c r="H13" s="888"/>
      <c r="I13" s="888"/>
      <c r="J13" s="888"/>
      <c r="K13" s="888"/>
      <c r="L13" s="888"/>
      <c r="M13" s="889"/>
    </row>
    <row r="14" spans="1:13" ht="15" hidden="1" customHeight="1" thickBot="1">
      <c r="A14" s="27"/>
      <c r="B14" s="652"/>
      <c r="C14" s="652"/>
      <c r="D14" s="890">
        <f>i_SubstName1</f>
        <v>0</v>
      </c>
      <c r="E14" s="891"/>
      <c r="F14" s="890">
        <f>i_SubstName2</f>
        <v>0</v>
      </c>
      <c r="G14" s="891"/>
      <c r="H14" s="890">
        <f>i_SubstName3</f>
        <v>0</v>
      </c>
      <c r="I14" s="891"/>
      <c r="J14" s="890">
        <f>i_SubstName4</f>
        <v>0</v>
      </c>
      <c r="K14" s="891"/>
    </row>
    <row r="15" spans="1:13" ht="15" hidden="1" customHeight="1" thickBot="1">
      <c r="A15" s="27"/>
      <c r="B15" s="872" t="s">
        <v>412</v>
      </c>
      <c r="C15" s="880" t="s">
        <v>413</v>
      </c>
      <c r="D15" s="877" t="s">
        <v>414</v>
      </c>
      <c r="E15" s="863"/>
      <c r="F15" s="877" t="s">
        <v>414</v>
      </c>
      <c r="G15" s="863"/>
      <c r="H15" s="877" t="s">
        <v>414</v>
      </c>
      <c r="I15" s="863"/>
      <c r="J15" s="877" t="s">
        <v>414</v>
      </c>
      <c r="K15" s="863"/>
      <c r="L15" s="861" t="s">
        <v>415</v>
      </c>
      <c r="M15" s="863" t="s">
        <v>416</v>
      </c>
    </row>
    <row r="16" spans="1:13" ht="45.75" hidden="1" thickBot="1">
      <c r="A16" s="27"/>
      <c r="B16" s="872"/>
      <c r="C16" s="880"/>
      <c r="D16" s="146" t="s">
        <v>145</v>
      </c>
      <c r="E16" s="147" t="s">
        <v>417</v>
      </c>
      <c r="F16" s="146" t="s">
        <v>145</v>
      </c>
      <c r="G16" s="147" t="s">
        <v>417</v>
      </c>
      <c r="H16" s="146" t="s">
        <v>145</v>
      </c>
      <c r="I16" s="147" t="s">
        <v>417</v>
      </c>
      <c r="J16" s="146" t="s">
        <v>145</v>
      </c>
      <c r="K16" s="147" t="s">
        <v>417</v>
      </c>
      <c r="L16" s="861"/>
      <c r="M16" s="863"/>
    </row>
    <row r="17" spans="1:23" ht="21" hidden="1" customHeight="1" thickBot="1">
      <c r="A17" s="27"/>
      <c r="B17" s="872"/>
      <c r="C17" s="138" t="s">
        <v>418</v>
      </c>
      <c r="D17" s="148" t="e">
        <f>IF(ISBLANK(INDEX(ay_OpExAOEM,MATCH(sys_KeyOperator&amp;"Hands",key_AOEM,0),10)),10^(INDEX(ay_OpExAOEM,MATCH(sys_KeyOperator&amp;"Hands",key_AOEM,0),7)+(LOG(i_AmountAS1)*INDEX(ay_OpExAOEM,MATCH(sys_KeyOperator&amp;"Hands",key_AOEM,0),8))+INDEX(ay_OpExAOEM,MATCH(sys_KeyOperator&amp;"Hands",key_AOEM,0),9)),MAX(INDEX(ay_OpExAOEM,MATCH(sys_KeyOperator&amp;"Hands",key_AOEM,0),10),(INDEX(ay_OpExAOEM,MATCH(sys_KeyOperator&amp;"Hands",key_AOEM,0),10)/1.5)*i_AmountAS1))</f>
        <v>#N/A</v>
      </c>
      <c r="E17" s="149" t="e">
        <f>IF(ISBLANK(INDEX(ay_OpExAOEM,MATCH(sys_KeyOperator&amp;"Hands",key_AOEM,0),14)),10^(INDEX(ay_OpExAOEM,MATCH(sys_KeyOperator&amp;"Hands",key_AOEM,0),11)+(LOG(i_AmountAS1)*INDEX(ay_OpExAOEM,MATCH(sys_KeyOperator&amp;"Hands",key_AOEM,0),12))+INDEX(ay_OpExAOEM,MATCH(sys_KeyOperator&amp;"Hands",key_AOEM,0),13)),MAX(INDEX(ay_OpExAOEM,MATCH(sys_KeyOperator&amp;"Hands",key_AOEM,0),14),(INDEX(ay_OpExAOEM,MATCH(sys_KeyOperator&amp;"Hands",key_AOEM,0),14)/1.5)*i_AmountAS1))</f>
        <v>#N/A</v>
      </c>
      <c r="F17" s="148" t="e">
        <f>IF(ISBLANK(INDEX(ay_OpExAOEM,MATCH(sys_KeyOperator&amp;"Hands",key_AOEM,0),10)),10^(INDEX(ay_OpExAOEM,MATCH(sys_KeyOperator&amp;"Hands",key_AOEM,0),7)+(LOG(i_AmountAS2)*INDEX(ay_OpExAOEM,MATCH(sys_KeyOperator&amp;"Hands",key_AOEM,0),8))+INDEX(ay_OpExAOEM,MATCH(sys_KeyOperator&amp;"Hands",key_AOEM,0),9)),MAX(INDEX(ay_OpExAOEM,MATCH(sys_KeyOperator&amp;"Hands",key_AOEM,0),10),(INDEX(ay_OpExAOEM,MATCH(sys_KeyOperator&amp;"Hands",key_AOEM,0),10)/1.5)*i_AmountAS2))</f>
        <v>#N/A</v>
      </c>
      <c r="G17" s="149" t="e">
        <f>IF(ISBLANK(INDEX(ay_OpExAOEM,MATCH(sys_KeyOperator&amp;"Hands",key_AOEM,0),14)),10^(INDEX(ay_OpExAOEM,MATCH(sys_KeyOperator&amp;"Hands",key_AOEM,0),11)+(LOG(i_AmountAS2)*INDEX(ay_OpExAOEM,MATCH(sys_KeyOperator&amp;"Hands",key_AOEM,0),12))+INDEX(ay_OpExAOEM,MATCH(sys_KeyOperator&amp;"Hands",key_AOEM,0),13)),MAX(INDEX(ay_OpExAOEM,MATCH(sys_KeyOperator&amp;"Hands",key_AOEM,0),14),(INDEX(ay_OpExAOEM,MATCH(sys_KeyOperator&amp;"Hands",key_AOEM,0),14)/1.5)*i_AmountAS2))</f>
        <v>#N/A</v>
      </c>
      <c r="H17" s="148" t="e">
        <f>IF(ISBLANK(INDEX(ay_OpExAOEM,MATCH(sys_KeyOperator&amp;"Hands",key_AOEM,0),10)),10^(INDEX(ay_OpExAOEM,MATCH(sys_KeyOperator&amp;"Hands",key_AOEM,0),7)+(LOG(i_AmountAS3)*INDEX(ay_OpExAOEM,MATCH(sys_KeyOperator&amp;"Hands",key_AOEM,0),8))+INDEX(ay_OpExAOEM,MATCH(sys_KeyOperator&amp;"Hands",key_AOEM,0),9)),MAX(INDEX(ay_OpExAOEM,MATCH(sys_KeyOperator&amp;"Hands",key_AOEM,0),10),(INDEX(ay_OpExAOEM,MATCH(sys_KeyOperator&amp;"Hands",key_AOEM,0),10)/1.5)*i_AmountAS3))</f>
        <v>#N/A</v>
      </c>
      <c r="I17" s="149" t="e">
        <f>IF(ISBLANK(INDEX(ay_OpExAOEM,MATCH(sys_KeyOperator&amp;"Hands",key_AOEM,0),14)),10^(INDEX(ay_OpExAOEM,MATCH(sys_KeyOperator&amp;"Hands",key_AOEM,0),11)+(LOG(i_AmountAS3)*INDEX(ay_OpExAOEM,MATCH(sys_KeyOperator&amp;"Hands",key_AOEM,0),12))+INDEX(ay_OpExAOEM,MATCH(sys_KeyOperator&amp;"Hands",key_AOEM,0),13)),MAX(INDEX(ay_OpExAOEM,MATCH(sys_KeyOperator&amp;"Hands",key_AOEM,0),14),(INDEX(ay_OpExAOEM,MATCH(sys_KeyOperator&amp;"Hands",key_AOEM,0),14)/1.5)*i_AmountAS3))</f>
        <v>#N/A</v>
      </c>
      <c r="J17" s="148" t="e">
        <f>IF(ISBLANK(INDEX(ay_OpExAOEM,MATCH(sys_KeyOperator&amp;"Hands",key_AOEM,0),10)),10^(INDEX(ay_OpExAOEM,MATCH(sys_KeyOperator&amp;"Hands",key_AOEM,0),7)+(LOG(i_AmountAS4)*INDEX(ay_OpExAOEM,MATCH(sys_KeyOperator&amp;"Hands",key_AOEM,0),8))+INDEX(ay_OpExAOEM,MATCH(sys_KeyOperator&amp;"Hands",key_AOEM,0),9)),MAX(INDEX(ay_OpExAOEM,MATCH(sys_KeyOperator&amp;"Hands",key_AOEM,0),10),(INDEX(ay_OpExAOEM,MATCH(sys_KeyOperator&amp;"Hands",key_AOEM,0),10)/1.5)*i_AmountAS4))</f>
        <v>#N/A</v>
      </c>
      <c r="K17" s="149" t="e">
        <f>IF(ISBLANK(INDEX(ay_OpExAOEM,MATCH(sys_KeyOperator&amp;"Hands",key_AOEM,0),14)),10^(INDEX(ay_OpExAOEM,MATCH(sys_KeyOperator&amp;"Hands",key_AOEM,0),11)+(LOG(i_AmountAS4)*INDEX(ay_OpExAOEM,MATCH(sys_KeyOperator&amp;"Hands",key_AOEM,0),12))+INDEX(ay_OpExAOEM,MATCH(sys_KeyOperator&amp;"Hands",key_AOEM,0),13)),MAX(INDEX(ay_OpExAOEM,MATCH(sys_KeyOperator&amp;"Hands",key_AOEM,0),14),(INDEX(ay_OpExAOEM,MATCH(sys_KeyOperator&amp;"Hands",key_AOEM,0),14)/1.5)*i_AmountAS4))</f>
        <v>#N/A</v>
      </c>
      <c r="L17" s="145" t="s">
        <v>419</v>
      </c>
      <c r="M17" s="35"/>
    </row>
    <row r="18" spans="1:23" ht="21" hidden="1" customHeight="1" thickBot="1">
      <c r="A18" s="27"/>
      <c r="B18" s="872"/>
      <c r="C18" s="138" t="s">
        <v>420</v>
      </c>
      <c r="D18" s="148" t="e">
        <f>IF(ISBLANK(INDEX(ay_OpExAOEM,MATCH(sys_KeyOperator&amp;"Body",key_AOEM,0),10)),10^(INDEX(ay_OpExAOEM,MATCH(sys_KeyOperator&amp;"Body",key_AOEM,0),7)+(LOG(i_AmountAS1)*INDEX(ay_OpExAOEM,MATCH(sys_KeyOperator&amp;"Body",key_AOEM,0),8))+INDEX(ay_OpExAOEM,MATCH(sys_KeyOperator&amp;"Body",key_AOEM,0),9)),MAX(INDEX(ay_OpExAOEM,MATCH(sys_KeyOperator&amp;"Body",key_AOEM,0),10),(INDEX(ay_OpExAOEM,MATCH(sys_KeyOperator&amp;"Body",key_AOEM,0),10)/1.5)*i_AmountAS1))</f>
        <v>#N/A</v>
      </c>
      <c r="E18" s="149" t="e">
        <f>IF(ISBLANK(INDEX(ay_OpExAOEM,MATCH(sys_KeyOperator&amp;"Body",key_AOEM,0),14)), 10^(INDEX(ay_OpExAOEM,MATCH(sys_KeyOperator&amp;"Body",key_AOEM,0),11) +(LOG(i_AmountAS1)*INDEX(ay_OpExAOEM,MATCH(sys_KeyOperator&amp;"Body",key_AOEM,0),12)) +INDEX(ay_OpExAOEM,MATCH(sys_KeyOperator&amp;"Body",key_AOEM,0),13)),MAX(INDEX(ay_OpExAOEM,MATCH(sys_KeyOperator&amp;"Body",key_AOEM,0),14),(INDEX(ay_OpExAOEM,MATCH(sys_KeyOperator&amp;"Body",key_AOEM,0),14) /1.5)*i_AmountAS1))</f>
        <v>#N/A</v>
      </c>
      <c r="F18" s="148" t="e">
        <f>IF(ISBLANK(INDEX(ay_OpExAOEM,MATCH(sys_KeyOperator&amp;"Body",key_AOEM,0),10)),10^(INDEX(ay_OpExAOEM,MATCH(sys_KeyOperator&amp;"Body",key_AOEM,0),7)+(LOG(i_AmountAS2)*INDEX(ay_OpExAOEM,MATCH(sys_KeyOperator&amp;"Body",key_AOEM,0),8))+INDEX(ay_OpExAOEM,MATCH(sys_KeyOperator&amp;"Body",key_AOEM,0),9)),MAX(INDEX(ay_OpExAOEM,MATCH(sys_KeyOperator&amp;"Body",key_AOEM,0),10),(INDEX(ay_OpExAOEM,MATCH(sys_KeyOperator&amp;"Body",key_AOEM,0),10)/1.5)*i_AmountAS2))</f>
        <v>#N/A</v>
      </c>
      <c r="G18" s="149" t="e">
        <f>IF(ISBLANK(INDEX(ay_OpExAOEM,MATCH(sys_KeyOperator&amp;"Body",key_AOEM,0),14)), 10^(INDEX(ay_OpExAOEM,MATCH(sys_KeyOperator&amp;"Body",key_AOEM,0),11) +(LOG(i_AmountAS2)*INDEX(ay_OpExAOEM,MATCH(sys_KeyOperator&amp;"Body",key_AOEM,0),12)) +INDEX(ay_OpExAOEM,MATCH(sys_KeyOperator&amp;"Body",key_AOEM,0),13)),MAX(INDEX(ay_OpExAOEM,MATCH(sys_KeyOperator&amp;"Body",key_AOEM,0),14),(INDEX(ay_OpExAOEM,MATCH(sys_KeyOperator&amp;"Body",key_AOEM,0),14) /1.5)*i_AmountAS2))</f>
        <v>#N/A</v>
      </c>
      <c r="H18" s="148" t="e">
        <f>IF(ISBLANK(INDEX(ay_OpExAOEM,MATCH(sys_KeyOperator&amp;"Body",key_AOEM,0),10)),10^(INDEX(ay_OpExAOEM,MATCH(sys_KeyOperator&amp;"Body",key_AOEM,0),7)+(LOG(i_AmountAS3)*INDEX(ay_OpExAOEM,MATCH(sys_KeyOperator&amp;"Body",key_AOEM,0),8))+INDEX(ay_OpExAOEM,MATCH(sys_KeyOperator&amp;"Body",key_AOEM,0),9)),MAX(INDEX(ay_OpExAOEM,MATCH(sys_KeyOperator&amp;"Body",key_AOEM,0),10),(INDEX(ay_OpExAOEM,MATCH(sys_KeyOperator&amp;"Body",key_AOEM,0),10)/1.5)*i_AmountAS3))</f>
        <v>#N/A</v>
      </c>
      <c r="I18" s="149" t="e">
        <f>IF(ISBLANK(INDEX(ay_OpExAOEM,MATCH(sys_KeyOperator&amp;"Body",key_AOEM,0),14)), 10^(INDEX(ay_OpExAOEM,MATCH(sys_KeyOperator&amp;"Body",key_AOEM,0),11) +(LOG(i_AmountAS3)*INDEX(ay_OpExAOEM,MATCH(sys_KeyOperator&amp;"Body",key_AOEM,0),12)) +INDEX(ay_OpExAOEM,MATCH(sys_KeyOperator&amp;"Body",key_AOEM,0),13)),MAX(INDEX(ay_OpExAOEM,MATCH(sys_KeyOperator&amp;"Body",key_AOEM,0),14),(INDEX(ay_OpExAOEM,MATCH(sys_KeyOperator&amp;"Body",key_AOEM,0),14) /1.5)*i_AmountAS3))</f>
        <v>#N/A</v>
      </c>
      <c r="J18" s="148" t="e">
        <f>IF(ISBLANK(INDEX(ay_OpExAOEM,MATCH(sys_KeyOperator&amp;"Body",key_AOEM,0),10)),10^(INDEX(ay_OpExAOEM,MATCH(sys_KeyOperator&amp;"Body",key_AOEM,0),7)+(LOG(i_AmountAS4)*INDEX(ay_OpExAOEM,MATCH(sys_KeyOperator&amp;"Body",key_AOEM,0),8))+INDEX(ay_OpExAOEM,MATCH(sys_KeyOperator&amp;"Body",key_AOEM,0),9)),MAX(INDEX(ay_OpExAOEM,MATCH(sys_KeyOperator&amp;"Body",key_AOEM,0),10),(INDEX(ay_OpExAOEM,MATCH(sys_KeyOperator&amp;"Body",key_AOEM,0),10)/1.5)*i_AmountAS4))</f>
        <v>#N/A</v>
      </c>
      <c r="K18" s="149" t="e">
        <f>IF(ISBLANK(INDEX(ay_OpExAOEM,MATCH(sys_KeyOperator&amp;"Body",key_AOEM,0),14)), 10^(INDEX(ay_OpExAOEM,MATCH(sys_KeyOperator&amp;"Body",key_AOEM,0),11) +(LOG(i_AmountAS4)*INDEX(ay_OpExAOEM,MATCH(sys_KeyOperator&amp;"Body",key_AOEM,0),12)) +INDEX(ay_OpExAOEM,MATCH(sys_KeyOperator&amp;"Body",key_AOEM,0),13)),MAX(INDEX(ay_OpExAOEM,MATCH(sys_KeyOperator&amp;"Body",key_AOEM,0),14),(INDEX(ay_OpExAOEM,MATCH(sys_KeyOperator&amp;"Body",key_AOEM,0),14) /1.5)*i_AmountAS4))</f>
        <v>#N/A</v>
      </c>
      <c r="L18" s="145" t="s">
        <v>419</v>
      </c>
      <c r="M18" s="35"/>
    </row>
    <row r="19" spans="1:23" ht="21" hidden="1" customHeight="1" thickBot="1">
      <c r="A19" s="27"/>
      <c r="B19" s="872"/>
      <c r="C19" s="139" t="s">
        <v>104</v>
      </c>
      <c r="D19" s="148" t="e">
        <f>IF(ISBLANK(INDEX(ay_OpExAOEM,MATCH(sys_KeyOperator&amp;"Head",key_AOEM,0),10)),10^(INDEX(ay_OpExAOEM,MATCH(sys_KeyOperator&amp;"Head",key_AOEM,0),7)+(LOG(i_AmountAS1)*INDEX(ay_OpExAOEM,MATCH(sys_KeyOperator&amp;"Head",key_AOEM,0),8))+INDEX(ay_OpExAOEM,MATCH(sys_KeyOperator&amp;"Head",key_AOEM,0),9)),MAX(INDEX(ay_OpExAOEM,MATCH(sys_KeyOperator&amp;"Head",key_AOEM,0),10),(INDEX(ay_OpExAOEM,MATCH(sys_KeyOperator&amp;"Head",key_AOEM,0),10)/1.5)*i_AmountAS1))</f>
        <v>#N/A</v>
      </c>
      <c r="E19" s="149" t="e">
        <f>IF(ISBLANK(INDEX(ay_OpExAOEM,MATCH(sys_KeyOperator&amp;"Head",key_AOEM,0),14)), 10^(INDEX(ay_OpExAOEM,MATCH(sys_KeyOperator&amp;"Head",key_AOEM,0),11) +(LOG(i_AmountAS1)*INDEX(ay_OpExAOEM,MATCH(sys_KeyOperator&amp;"Head",key_AOEM,0),12)) +INDEX(ay_OpExAOEM,MATCH(sys_KeyOperator&amp;"Head",key_AOEM,0),13)),MAX(INDEX(ay_OpExAOEM,MATCH(sys_KeyOperator&amp;"Head",key_AOEM,0),14),(INDEX(ay_OpExAOEM,MATCH(sys_KeyOperator&amp;"Head",key_AOEM,0),14) /1.5)*i_AmountAS1))</f>
        <v>#N/A</v>
      </c>
      <c r="F19" s="148" t="e">
        <f>IF(ISBLANK(INDEX(ay_OpExAOEM,MATCH(sys_KeyOperator&amp;"Head",key_AOEM,0),10)),10^(INDEX(ay_OpExAOEM,MATCH(sys_KeyOperator&amp;"Head",key_AOEM,0),7)+(LOG(i_AmountAS2)*INDEX(ay_OpExAOEM,MATCH(sys_KeyOperator&amp;"Head",key_AOEM,0),8))+INDEX(ay_OpExAOEM,MATCH(sys_KeyOperator&amp;"Head",key_AOEM,0),9)),MAX(INDEX(ay_OpExAOEM,MATCH(sys_KeyOperator&amp;"Head",key_AOEM,0),10),(INDEX(ay_OpExAOEM,MATCH(sys_KeyOperator&amp;"Head",key_AOEM,0),10)/1.5)*i_AmountAS2))</f>
        <v>#N/A</v>
      </c>
      <c r="G19" s="149" t="e">
        <f>IF(ISBLANK(INDEX(ay_OpExAOEM,MATCH(sys_KeyOperator&amp;"Head",key_AOEM,0),14)), 10^(INDEX(ay_OpExAOEM,MATCH(sys_KeyOperator&amp;"Head",key_AOEM,0),11) +(LOG(i_AmountAS2)*INDEX(ay_OpExAOEM,MATCH(sys_KeyOperator&amp;"Head",key_AOEM,0),12)) +INDEX(ay_OpExAOEM,MATCH(sys_KeyOperator&amp;"Head",key_AOEM,0),13)),MAX(INDEX(ay_OpExAOEM,MATCH(sys_KeyOperator&amp;"Head",key_AOEM,0),14),(INDEX(ay_OpExAOEM,MATCH(sys_KeyOperator&amp;"Head",key_AOEM,0),14) /1.5)*i_AmountAS2))</f>
        <v>#N/A</v>
      </c>
      <c r="H19" s="148" t="e">
        <f>IF(ISBLANK(INDEX(ay_OpExAOEM,MATCH(sys_KeyOperator&amp;"Head",key_AOEM,0),10)),10^(INDEX(ay_OpExAOEM,MATCH(sys_KeyOperator&amp;"Head",key_AOEM,0),7)+(LOG(i_AmountAS3)*INDEX(ay_OpExAOEM,MATCH(sys_KeyOperator&amp;"Head",key_AOEM,0),8))+INDEX(ay_OpExAOEM,MATCH(sys_KeyOperator&amp;"Head",key_AOEM,0),9)),MAX(INDEX(ay_OpExAOEM,MATCH(sys_KeyOperator&amp;"Head",key_AOEM,0),10),(INDEX(ay_OpExAOEM,MATCH(sys_KeyOperator&amp;"Head",key_AOEM,0),10)/1.5)*i_AmountAS3))</f>
        <v>#N/A</v>
      </c>
      <c r="I19" s="149" t="e">
        <f>IF(ISBLANK(INDEX(ay_OpExAOEM,MATCH(sys_KeyOperator&amp;"Head",key_AOEM,0),14)), 10^(INDEX(ay_OpExAOEM,MATCH(sys_KeyOperator&amp;"Head",key_AOEM,0),11) +(LOG(i_AmountAS3)*INDEX(ay_OpExAOEM,MATCH(sys_KeyOperator&amp;"Head",key_AOEM,0),12)) +INDEX(ay_OpExAOEM,MATCH(sys_KeyOperator&amp;"Head",key_AOEM,0),13)),MAX(INDEX(ay_OpExAOEM,MATCH(sys_KeyOperator&amp;"Head",key_AOEM,0),14),(INDEX(ay_OpExAOEM,MATCH(sys_KeyOperator&amp;"Head",key_AOEM,0),14) /1.5)*i_AmountAS3))</f>
        <v>#N/A</v>
      </c>
      <c r="J19" s="148" t="e">
        <f>IF(ISBLANK(INDEX(ay_OpExAOEM,MATCH(sys_KeyOperator&amp;"Head",key_AOEM,0),10)),10^(INDEX(ay_OpExAOEM,MATCH(sys_KeyOperator&amp;"Head",key_AOEM,0),7)+(LOG(i_AmountAS4)*INDEX(ay_OpExAOEM,MATCH(sys_KeyOperator&amp;"Head",key_AOEM,0),8))+INDEX(ay_OpExAOEM,MATCH(sys_KeyOperator&amp;"Head",key_AOEM,0),9)),MAX(INDEX(ay_OpExAOEM,MATCH(sys_KeyOperator&amp;"Head",key_AOEM,0),10),(INDEX(ay_OpExAOEM,MATCH(sys_KeyOperator&amp;"Head",key_AOEM,0),10)/1.5)*i_AmountAS4))</f>
        <v>#N/A</v>
      </c>
      <c r="K19" s="149" t="e">
        <f>IF(ISBLANK(INDEX(ay_OpExAOEM,MATCH(sys_KeyOperator&amp;"Head",key_AOEM,0),14)), 10^(INDEX(ay_OpExAOEM,MATCH(sys_KeyOperator&amp;"Head",key_AOEM,0),11) +(LOG(i_AmountAS4)*INDEX(ay_OpExAOEM,MATCH(sys_KeyOperator&amp;"Head",key_AOEM,0),12)) +INDEX(ay_OpExAOEM,MATCH(sys_KeyOperator&amp;"Head",key_AOEM,0),13)),MAX(INDEX(ay_OpExAOEM,MATCH(sys_KeyOperator&amp;"Head",key_AOEM,0),14),(INDEX(ay_OpExAOEM,MATCH(sys_KeyOperator&amp;"Head",key_AOEM,0),14) /1.5)*i_AmountAS4))</f>
        <v>#N/A</v>
      </c>
      <c r="L19" s="145" t="s">
        <v>419</v>
      </c>
      <c r="M19" s="36"/>
    </row>
    <row r="20" spans="1:23" ht="21.75" hidden="1" customHeight="1" thickBot="1">
      <c r="A20" s="27"/>
      <c r="B20" s="872"/>
      <c r="C20" s="140" t="s">
        <v>421</v>
      </c>
      <c r="D20" s="148" t="e">
        <f>IF(ISBLANK(INDEX(ay_OpExAOEM,MATCH(sys_KeyOperator&amp;"Protected hands",key_AOEM,0),10)),10^(INDEX(ay_OpExAOEM,MATCH(sys_KeyOperator&amp;"Protected hands",key_AOEM,0),7)+(LOG(i_AmountAS1)*INDEX(ay_OpExAOEM,MATCH(sys_KeyOperator&amp;"Protected hands",key_AOEM,0),8))+INDEX(ay_OpExAOEM,MATCH(sys_KeyOperator&amp;"Protected hands",key_AOEM,0),9)),MAX(INDEX(ay_OpExAOEM,MATCH(sys_KeyOperator&amp;"Protected hands",key_AOEM,0),10),(INDEX(ay_OpExAOEM,MATCH(sys_KeyOperator&amp;"Protected hands",key_AOEM,0),10)/1.5)*i_AmountAS1))</f>
        <v>#N/A</v>
      </c>
      <c r="E20" s="149" t="e">
        <f>IF(ISBLANK(INDEX(ay_OpExAOEM,MATCH(sys_KeyOperator&amp;"Protected Hands",key_AOEM,0),14)), 10^(INDEX(ay_OpExAOEM,MATCH(sys_KeyOperator&amp;"Protected Hands",key_AOEM,0),11) +(LOG(i_AmountAS1)*INDEX(ay_OpExAOEM,MATCH(sys_KeyOperator&amp;"Protected Hands",key_AOEM,0),12)) +INDEX(ay_OpExAOEM,MATCH(sys_KeyOperator&amp;"Protected Hands",key_AOEM,0),13)),MAX(INDEX(ay_OpExAOEM,MATCH(sys_KeyOperator&amp;"Protected Hands",key_AOEM,0),14),(INDEX(ay_OpExAOEM,MATCH(sys_KeyOperator&amp;"Protected Hands",key_AOEM,0),14) /1.5)*i_AmountAS1))</f>
        <v>#N/A</v>
      </c>
      <c r="F20" s="148" t="e">
        <f>IF(ISBLANK(INDEX(ay_OpExAOEM,MATCH(sys_KeyOperator&amp;"Protected hands",key_AOEM,0),10)),10^(INDEX(ay_OpExAOEM,MATCH(sys_KeyOperator&amp;"Protected hands",key_AOEM,0),7)+(LOG(i_AmountAS2)*INDEX(ay_OpExAOEM,MATCH(sys_KeyOperator&amp;"Protected hands",key_AOEM,0),8))+INDEX(ay_OpExAOEM,MATCH(sys_KeyOperator&amp;"Protected hands",key_AOEM,0),9)),MAX(INDEX(ay_OpExAOEM,MATCH(sys_KeyOperator&amp;"Protected hands",key_AOEM,0),10),(INDEX(ay_OpExAOEM,MATCH(sys_KeyOperator&amp;"Protected hands",key_AOEM,0),10)/1.5)*i_AmountAS2))</f>
        <v>#N/A</v>
      </c>
      <c r="G20" s="149" t="e">
        <f>IF(ISBLANK(INDEX(ay_OpExAOEM,MATCH(sys_KeyOperator&amp;"Protected Hands",key_AOEM,0),14)), 10^(INDEX(ay_OpExAOEM,MATCH(sys_KeyOperator&amp;"Protected Hands",key_AOEM,0),11) +(LOG(i_AmountAS2)*INDEX(ay_OpExAOEM,MATCH(sys_KeyOperator&amp;"Protected Hands",key_AOEM,0),12)) +INDEX(ay_OpExAOEM,MATCH(sys_KeyOperator&amp;"Protected Hands",key_AOEM,0),13)),MAX(INDEX(ay_OpExAOEM,MATCH(sys_KeyOperator&amp;"Protected Hands",key_AOEM,0),14),(INDEX(ay_OpExAOEM,MATCH(sys_KeyOperator&amp;"Protected Hands",key_AOEM,0),14) /1.5)*i_AmountAS2))</f>
        <v>#N/A</v>
      </c>
      <c r="H20" s="148" t="e">
        <f>IF(ISBLANK(INDEX(ay_OpExAOEM,MATCH(sys_KeyOperator&amp;"Protected hands",key_AOEM,0),10)),10^(INDEX(ay_OpExAOEM,MATCH(sys_KeyOperator&amp;"Protected hands",key_AOEM,0),7)+(LOG(i_AmountAS3)*INDEX(ay_OpExAOEM,MATCH(sys_KeyOperator&amp;"Protected hands",key_AOEM,0),8))+INDEX(ay_OpExAOEM,MATCH(sys_KeyOperator&amp;"Protected hands",key_AOEM,0),9)),MAX(INDEX(ay_OpExAOEM,MATCH(sys_KeyOperator&amp;"Protected hands",key_AOEM,0),10),(INDEX(ay_OpExAOEM,MATCH(sys_KeyOperator&amp;"Protected hands",key_AOEM,0),10)/1.5)*i_AmountAS3))</f>
        <v>#N/A</v>
      </c>
      <c r="I20" s="149" t="e">
        <f>IF(ISBLANK(INDEX(ay_OpExAOEM,MATCH(sys_KeyOperator&amp;"Protected Hands",key_AOEM,0),14)), 10^(INDEX(ay_OpExAOEM,MATCH(sys_KeyOperator&amp;"Protected Hands",key_AOEM,0),11) +(LOG(i_AmountAS3)*INDEX(ay_OpExAOEM,MATCH(sys_KeyOperator&amp;"Protected Hands",key_AOEM,0),12)) +INDEX(ay_OpExAOEM,MATCH(sys_KeyOperator&amp;"Protected Hands",key_AOEM,0),13)),MAX(INDEX(ay_OpExAOEM,MATCH(sys_KeyOperator&amp;"Protected Hands",key_AOEM,0),14),(INDEX(ay_OpExAOEM,MATCH(sys_KeyOperator&amp;"Protected Hands",key_AOEM,0),14) /1.5)*i_AmountAS3))</f>
        <v>#N/A</v>
      </c>
      <c r="J20" s="148" t="e">
        <f>IF(ISBLANK(INDEX(ay_OpExAOEM,MATCH(sys_KeyOperator&amp;"Protected hands",key_AOEM,0),10)),10^(INDEX(ay_OpExAOEM,MATCH(sys_KeyOperator&amp;"Protected hands",key_AOEM,0),7)+(LOG(i_AmountAS4)*INDEX(ay_OpExAOEM,MATCH(sys_KeyOperator&amp;"Protected hands",key_AOEM,0),8))+INDEX(ay_OpExAOEM,MATCH(sys_KeyOperator&amp;"Protected hands",key_AOEM,0),9)),MAX(INDEX(ay_OpExAOEM,MATCH(sys_KeyOperator&amp;"Protected hands",key_AOEM,0),10),(INDEX(ay_OpExAOEM,MATCH(sys_KeyOperator&amp;"Protected hands",key_AOEM,0),10)/1.5)*i_AmountAS4))</f>
        <v>#N/A</v>
      </c>
      <c r="K20" s="149" t="e">
        <f>IF(ISBLANK(INDEX(ay_OpExAOEM,MATCH(sys_KeyOperator&amp;"Protected Hands",key_AOEM,0),14)), 10^(INDEX(ay_OpExAOEM,MATCH(sys_KeyOperator&amp;"Protected Hands",key_AOEM,0),11) +(LOG(i_AmountAS4)*INDEX(ay_OpExAOEM,MATCH(sys_KeyOperator&amp;"Protected Hands",key_AOEM,0),12)) +INDEX(ay_OpExAOEM,MATCH(sys_KeyOperator&amp;"Protected Hands",key_AOEM,0),13)),MAX(INDEX(ay_OpExAOEM,MATCH(sys_KeyOperator&amp;"Protected Hands",key_AOEM,0),14),(INDEX(ay_OpExAOEM,MATCH(sys_KeyOperator&amp;"Protected Hands",key_AOEM,0),14) /1.5)*i_AmountAS4))</f>
        <v>#N/A</v>
      </c>
      <c r="L20" s="145" t="s">
        <v>419</v>
      </c>
      <c r="M20" s="36"/>
    </row>
    <row r="21" spans="1:23" ht="44.25" hidden="1" customHeight="1" thickBot="1">
      <c r="A21" s="27"/>
      <c r="B21" s="872"/>
      <c r="C21" s="140" t="s">
        <v>422</v>
      </c>
      <c r="D21" s="148" t="e">
        <f>IF(ISBLANK(INDEX(ay_OpExAOEM,MATCH(sys_KeyOperator&amp;"Protected Body",key_AOEM,0),10)),10^(INDEX(ay_OpExAOEM,MATCH(sys_KeyOperator&amp;"Protected Body",key_AOEM,0),7)+(LOG(i_AmountAS1)*INDEX(ay_OpExAOEM,MATCH(sys_KeyOperator&amp;"Protected Body",key_AOEM,0),8))+INDEX(ay_OpExAOEM,MATCH(sys_KeyOperator&amp;"Protected Body",key_AOEM,0),9)),MAX(INDEX(ay_OpExAOEM,MATCH(sys_KeyOperator&amp;"Protected Body",key_AOEM,0),10),(INDEX(ay_OpExAOEM,MATCH(sys_KeyOperator&amp;"Protected Body",key_AOEM,0),10)/1.5)*i_AmountAS1))</f>
        <v>#N/A</v>
      </c>
      <c r="E21" s="149" t="e">
        <f>IF(ISBLANK(INDEX(ay_OpExAOEM,MATCH(sys_KeyOperator&amp;"Protected Body",key_AOEM,0),14)), 10^(INDEX(ay_OpExAOEM,MATCH(sys_KeyOperator&amp;"Protected Body",key_AOEM,0),11) +(LOG(i_AmountAS1)*INDEX(ay_OpExAOEM,MATCH(sys_KeyOperator&amp;"Protected Body",key_AOEM,0),12)) +INDEX(ay_OpExAOEM,MATCH(sys_KeyOperator&amp;"Protected Body",key_AOEM,0),13)),MAX(INDEX(ay_OpExAOEM,MATCH(sys_KeyOperator&amp;"Protected Body",key_AOEM,0),14),(INDEX(ay_OpExAOEM,MATCH(sys_KeyOperator&amp;"Protected Body",key_AOEM,0),14) /1.5)*i_AmountAS1))</f>
        <v>#N/A</v>
      </c>
      <c r="F21" s="148" t="e">
        <f>IF(ISBLANK(INDEX(ay_OpExAOEM,MATCH(sys_KeyOperator&amp;"Protected Body",key_AOEM,0),10)),10^(INDEX(ay_OpExAOEM,MATCH(sys_KeyOperator&amp;"Protected Body",key_AOEM,0),7)+(LOG(i_AmountAS2)*INDEX(ay_OpExAOEM,MATCH(sys_KeyOperator&amp;"Protected Body",key_AOEM,0),8))+INDEX(ay_OpExAOEM,MATCH(sys_KeyOperator&amp;"Protected Body",key_AOEM,0),9)),MAX(INDEX(ay_OpExAOEM,MATCH(sys_KeyOperator&amp;"Protected Body",key_AOEM,0),10),(INDEX(ay_OpExAOEM,MATCH(sys_KeyOperator&amp;"Protected Body",key_AOEM,0),10)/1.5)*i_AmountAS2))</f>
        <v>#N/A</v>
      </c>
      <c r="G21" s="149" t="e">
        <f>IF(ISBLANK(INDEX(ay_OpExAOEM,MATCH(sys_KeyOperator&amp;"Protected Body",key_AOEM,0),14)), 10^(INDEX(ay_OpExAOEM,MATCH(sys_KeyOperator&amp;"Protected Body",key_AOEM,0),11) +(LOG(i_AmountAS2)*INDEX(ay_OpExAOEM,MATCH(sys_KeyOperator&amp;"Protected Body",key_AOEM,0),12)) +INDEX(ay_OpExAOEM,MATCH(sys_KeyOperator&amp;"Protected Body",key_AOEM,0),13)),MAX(INDEX(ay_OpExAOEM,MATCH(sys_KeyOperator&amp;"Protected Body",key_AOEM,0),14),(INDEX(ay_OpExAOEM,MATCH(sys_KeyOperator&amp;"Protected Body",key_AOEM,0),14) /1.5)*i_AmountAS2))</f>
        <v>#N/A</v>
      </c>
      <c r="H21" s="148" t="e">
        <f>IF(ISBLANK(INDEX(ay_OpExAOEM,MATCH(sys_KeyOperator&amp;"Protected Body",key_AOEM,0),10)),10^(INDEX(ay_OpExAOEM,MATCH(sys_KeyOperator&amp;"Protected Body",key_AOEM,0),7)+(LOG(i_AmountAS3)*INDEX(ay_OpExAOEM,MATCH(sys_KeyOperator&amp;"Protected Body",key_AOEM,0),8))+INDEX(ay_OpExAOEM,MATCH(sys_KeyOperator&amp;"Protected Body",key_AOEM,0),9)),MAX(INDEX(ay_OpExAOEM,MATCH(sys_KeyOperator&amp;"Protected Body",key_AOEM,0),10),(INDEX(ay_OpExAOEM,MATCH(sys_KeyOperator&amp;"Protected Body",key_AOEM,0),10)/1.5)*i_AmountAS3))</f>
        <v>#N/A</v>
      </c>
      <c r="I21" s="149" t="e">
        <f>IF(ISBLANK(INDEX(ay_OpExAOEM,MATCH(sys_KeyOperator&amp;"Protected Body",key_AOEM,0),14)), 10^(INDEX(ay_OpExAOEM,MATCH(sys_KeyOperator&amp;"Protected Body",key_AOEM,0),11) +(LOG(i_AmountAS3)*INDEX(ay_OpExAOEM,MATCH(sys_KeyOperator&amp;"Protected Body",key_AOEM,0),12)) +INDEX(ay_OpExAOEM,MATCH(sys_KeyOperator&amp;"Protected Body",key_AOEM,0),13)),MAX(INDEX(ay_OpExAOEM,MATCH(sys_KeyOperator&amp;"Protected Body",key_AOEM,0),14),(INDEX(ay_OpExAOEM,MATCH(sys_KeyOperator&amp;"Protected Body",key_AOEM,0),14) /1.5)*i_AmountAS3))</f>
        <v>#N/A</v>
      </c>
      <c r="J21" s="148" t="e">
        <f>IF(ISBLANK(INDEX(ay_OpExAOEM,MATCH(sys_KeyOperator&amp;"Protected Body",key_AOEM,0),10)),10^(INDEX(ay_OpExAOEM,MATCH(sys_KeyOperator&amp;"Protected Body",key_AOEM,0),7)+(LOG(i_AmountAS4)*INDEX(ay_OpExAOEM,MATCH(sys_KeyOperator&amp;"Protected Body",key_AOEM,0),8))+INDEX(ay_OpExAOEM,MATCH(sys_KeyOperator&amp;"Protected Body",key_AOEM,0),9)),MAX(INDEX(ay_OpExAOEM,MATCH(sys_KeyOperator&amp;"Protected Body",key_AOEM,0),10),(INDEX(ay_OpExAOEM,MATCH(sys_KeyOperator&amp;"Protected Body",key_AOEM,0),10)/1.5)*i_AmountAS4))</f>
        <v>#N/A</v>
      </c>
      <c r="K21" s="149" t="e">
        <f>IF(ISBLANK(INDEX(ay_OpExAOEM,MATCH(sys_KeyOperator&amp;"Protected Body",key_AOEM,0),14)), 10^(INDEX(ay_OpExAOEM,MATCH(sys_KeyOperator&amp;"Protected Body",key_AOEM,0),11) +(LOG(i_AmountAS4)*INDEX(ay_OpExAOEM,MATCH(sys_KeyOperator&amp;"Protected Body",key_AOEM,0),12)) +INDEX(ay_OpExAOEM,MATCH(sys_KeyOperator&amp;"Protected Body",key_AOEM,0),13)),MAX(INDEX(ay_OpExAOEM,MATCH(sys_KeyOperator&amp;"Protected Body",key_AOEM,0),14),(INDEX(ay_OpExAOEM,MATCH(sys_KeyOperator&amp;"Protected Body",key_AOEM,0),14) /1.5)*i_AmountAS4))</f>
        <v>#N/A</v>
      </c>
      <c r="L21" s="145" t="s">
        <v>419</v>
      </c>
      <c r="M21" s="36"/>
    </row>
    <row r="22" spans="1:23" ht="44.25" hidden="1" customHeight="1" thickBot="1">
      <c r="A22" s="27"/>
      <c r="B22" s="872"/>
      <c r="C22" s="140" t="s">
        <v>423</v>
      </c>
      <c r="D22" s="148" t="e">
        <f>IF(ISBLANK(INDEX(ay_OpExAOEM,MATCH(sys_KeyOperator&amp;"Head",key_AOEM,0),10)),10^(INDEX(ay_OpExAOEM,MATCH(sys_KeyOperator&amp;"Head",key_AOEM,0),7)+(LOG(i_AmountAS1)*INDEX(ay_OpExAOEM,MATCH(sys_KeyOperator&amp;"Head",key_AOEM,0),8))+INDEX(ay_OpExAOEM,MATCH(sys_KeyOperator&amp;"Head",key_AOEM,0),9)+ d_head75ProtectionFactor),MAX(INDEX(ay_OpExAOEM,MATCH(sys_KeyOperator&amp;"Head",key_AOEM,0),10),(INDEX(ay_OpExAOEM,MATCH(sys_KeyOperator&amp;"Head",key_AOEM,0),10)/1.5)*i_AmountAS1))*IF(ISNUMBER(Hole_F25),Hole_F25,1)</f>
        <v>#N/A</v>
      </c>
      <c r="E22" s="149" t="e">
        <f>IF(ISBLANK(INDEX(ay_OpExAOEM,MATCH(sys_KeyOperator&amp;"Head",key_AOEM,0),14)), 10^(INDEX(ay_OpExAOEM,MATCH(sys_KeyOperator&amp;"Head",key_AOEM,0),11) +(LOG(i_AmountAS1)*INDEX(ay_OpExAOEM,MATCH(sys_KeyOperator&amp;"Head",key_AOEM,0),12)) +INDEX(ay_OpExAOEM,MATCH(sys_KeyOperator&amp;"Head",key_AOEM,0),13)+ d_head95ProtectionFactor),MAX(INDEX(ay_OpExAOEM,MATCH(sys_KeyOperator&amp;"Head",key_AOEM,0),14),(INDEX(ay_OpExAOEM,MATCH(sys_KeyOperator&amp;"Head",key_AOEM,0),14) /1.5)*i_AmountAS1))*IF(ISNUMBER(Hole_F25),Hole_F25,1)</f>
        <v>#N/A</v>
      </c>
      <c r="F22" s="148" t="e">
        <f>IF(ISBLANK(INDEX(ay_OpExAOEM,MATCH(sys_KeyOperator&amp;"Head",key_AOEM,0),10)),10^(INDEX(ay_OpExAOEM,MATCH(sys_KeyOperator&amp;"Head",key_AOEM,0),7)+(LOG(i_AmountAS2)*INDEX(ay_OpExAOEM,MATCH(sys_KeyOperator&amp;"Head",key_AOEM,0),8))+INDEX(ay_OpExAOEM,MATCH(sys_KeyOperator&amp;"Head",key_AOEM,0),9)  + d_head75ProtectionFactor  ),MAX(INDEX(ay_OpExAOEM,MATCH(sys_KeyOperator&amp;"Head",key_AOEM,0),10),(INDEX(ay_OpExAOEM,MATCH(sys_KeyOperator&amp;"Head",key_AOEM,0),10)/1.5)*i_AmountAS2))*IF(ISNUMBER(Hole_F25),Hole_F25,1)</f>
        <v>#N/A</v>
      </c>
      <c r="G22" s="149" t="e">
        <f>IF(ISBLANK(INDEX(ay_OpExAOEM,MATCH(sys_KeyOperator&amp;"Head",key_AOEM,0),14)), 10^(INDEX(ay_OpExAOEM,MATCH(sys_KeyOperator&amp;"Head",key_AOEM,0),11) +(LOG(i_AmountAS2)*INDEX(ay_OpExAOEM,MATCH(sys_KeyOperator&amp;"Head",key_AOEM,0),12)) +INDEX(ay_OpExAOEM,MATCH(sys_KeyOperator&amp;"Head",key_AOEM,0),13)+ d_head95ProtectionFactor),MAX(INDEX(ay_OpExAOEM,MATCH(sys_KeyOperator&amp;"Head",key_AOEM,0),14),(INDEX(ay_OpExAOEM,MATCH(sys_KeyOperator&amp;"Head",key_AOEM,0),14) /1.5)*i_AmountAS2))*IF(ISNUMBER(Hole_F25),Hole_F25,1)</f>
        <v>#N/A</v>
      </c>
      <c r="H22" s="148" t="e">
        <f>IF(ISBLANK(INDEX(ay_OpExAOEM,MATCH(sys_KeyOperator&amp;"Head",key_AOEM,0),10)),10^(INDEX(ay_OpExAOEM,MATCH(sys_KeyOperator&amp;"Head",key_AOEM,0),7)+(LOG(i_AmountAS3)*INDEX(ay_OpExAOEM,MATCH(sys_KeyOperator&amp;"Head",key_AOEM,0),8))+INDEX(ay_OpExAOEM,MATCH(sys_KeyOperator&amp;"Head",key_AOEM,0),9)  + d_head75ProtectionFactor  ),MAX(INDEX(ay_OpExAOEM,MATCH(sys_KeyOperator&amp;"Head",key_AOEM,0),10),(INDEX(ay_OpExAOEM,MATCH(sys_KeyOperator&amp;"Head",key_AOEM,0),10)/1.5)*i_AmountAS3))*IF(ISNUMBER(Hole_F25),Hole_F25,1)</f>
        <v>#N/A</v>
      </c>
      <c r="I22" s="149" t="e">
        <f>IF(ISBLANK(INDEX(ay_OpExAOEM,MATCH(sys_KeyOperator&amp;"Head",key_AOEM,0),14)), 10^(INDEX(ay_OpExAOEM,MATCH(sys_KeyOperator&amp;"Head",key_AOEM,0),11) +(LOG(i_AmountAS3)*INDEX(ay_OpExAOEM,MATCH(sys_KeyOperator&amp;"Head",key_AOEM,0),12)) +INDEX(ay_OpExAOEM,MATCH(sys_KeyOperator&amp;"Head",key_AOEM,0),13)+ d_head95ProtectionFactor),MAX(INDEX(ay_OpExAOEM,MATCH(sys_KeyOperator&amp;"Head",key_AOEM,0),14),(INDEX(ay_OpExAOEM,MATCH(sys_KeyOperator&amp;"Head",key_AOEM,0),14) /1.5)*i_AmountAS3))*IF(ISNUMBER(Hole_F25),Hole_F25,1)</f>
        <v>#N/A</v>
      </c>
      <c r="J22" s="148" t="e">
        <f>IF(ISBLANK(INDEX(ay_OpExAOEM,MATCH(sys_KeyOperator&amp;"Head",key_AOEM,0),10)),10^(INDEX(ay_OpExAOEM,MATCH(sys_KeyOperator&amp;"Head",key_AOEM,0),7)+(LOG(i_AmountAS4)*INDEX(ay_OpExAOEM,MATCH(sys_KeyOperator&amp;"Head",key_AOEM,0),8))+INDEX(ay_OpExAOEM,MATCH(sys_KeyOperator&amp;"Head",key_AOEM,0),9)  + d_head75ProtectionFactor  ),MAX(INDEX(ay_OpExAOEM,MATCH(sys_KeyOperator&amp;"Head",key_AOEM,0),10),(INDEX(ay_OpExAOEM,MATCH(sys_KeyOperator&amp;"Head",key_AOEM,0),10)/1.5)*i_AmountAS4))*IF(ISNUMBER(Hole_F25),Hole_F25,1)</f>
        <v>#N/A</v>
      </c>
      <c r="K22" s="149" t="e">
        <f>IF(ISBLANK(INDEX(ay_OpExAOEM,MATCH(sys_KeyOperator&amp;"Head",key_AOEM,0),14)), 10^(INDEX(ay_OpExAOEM,MATCH(sys_KeyOperator&amp;"Head",key_AOEM,0),11) +(LOG(i_AmountAS4)*INDEX(ay_OpExAOEM,MATCH(sys_KeyOperator&amp;"Head",key_AOEM,0),12)) +INDEX(ay_OpExAOEM,MATCH(sys_KeyOperator&amp;"Head",key_AOEM,0),13)+ d_head95ProtectionFactor),MAX(INDEX(ay_OpExAOEM,MATCH(sys_KeyOperator&amp;"Head",key_AOEM,0),14),(INDEX(ay_OpExAOEM,MATCH(sys_KeyOperator&amp;"Head",key_AOEM,0),14) /1.5)*i_AmountAS4))*IF(ISNUMBER(Hole_F25),Hole_F25,1)</f>
        <v>#N/A</v>
      </c>
      <c r="L22" s="145" t="s">
        <v>419</v>
      </c>
      <c r="M22" s="36"/>
    </row>
    <row r="23" spans="1:23" ht="20.25" hidden="1" customHeight="1" thickBot="1">
      <c r="A23" s="27"/>
      <c r="B23" s="872"/>
      <c r="C23" s="142" t="s">
        <v>109</v>
      </c>
      <c r="D23" s="159" t="e">
        <f>IF(ISBLANK(INDEX(ay_OpExAOEM,MATCH(sys_KeyOperator&amp;"Inhalation",key_AOEM,0),10)),10^(INDEX(ay_OpExAOEM,MATCH(sys_KeyOperator&amp;"Inhalation",key_AOEM,0),7)+(LOG(i_AmountAS1)*INDEX(ay_OpExAOEM,MATCH(sys_KeyOperator&amp;"Inhalation",key_AOEM,0),8))+INDEX(ay_OpExAOEM,MATCH(sys_KeyOperator&amp;"Inhalation",key_AOEM,0),9)),MAX(INDEX(ay_OpExAOEM,MATCH(sys_KeyOperator&amp;"Inhalation",key_AOEM,0),10),(INDEX(ay_OpExAOEM,MATCH(sys_KeyOperator&amp;"Inhalation",key_AOEM,0),10)/1.5)*i_AmountAS1))</f>
        <v>#N/A</v>
      </c>
      <c r="E23" s="160" t="e">
        <f>IF(ISBLANK(INDEX(ay_OpExAOEM,MATCH(sys_KeyOperator&amp;"Inhalation",key_AOEM,0),14)), 10^(INDEX(ay_OpExAOEM,MATCH(sys_KeyOperator&amp;"Inhalation",key_AOEM,0),11) +(LOG(i_AmountAS1)*INDEX(ay_OpExAOEM,MATCH(sys_KeyOperator&amp;"Inhalation",key_AOEM,0),12)) +INDEX(ay_OpExAOEM,MATCH(sys_KeyOperator&amp;"Inhalation",key_AOEM,0),13)),MAX(INDEX(ay_OpExAOEM,MATCH(sys_KeyOperator&amp;"Inhalation",key_AOEM,0),14),(INDEX(ay_OpExAOEM,MATCH(sys_KeyOperator&amp;"Inhalation",key_AOEM,0),14) /1.5)*i_AmountAS1))</f>
        <v>#N/A</v>
      </c>
      <c r="F23" s="159" t="e">
        <f>IF(ISBLANK(INDEX(ay_OpExAOEM,MATCH(sys_KeyOperator&amp;"Inhalation",key_AOEM,0),10)),10^(INDEX(ay_OpExAOEM,MATCH(sys_KeyOperator&amp;"Inhalation",key_AOEM,0),7)+(LOG(i_AmountAS2)*INDEX(ay_OpExAOEM,MATCH(sys_KeyOperator&amp;"Inhalation",key_AOEM,0),8))+INDEX(ay_OpExAOEM,MATCH(sys_KeyOperator&amp;"Inhalation",key_AOEM,0),9)),MAX(INDEX(ay_OpExAOEM,MATCH(sys_KeyOperator&amp;"Inhalation",key_AOEM,0),10),(INDEX(ay_OpExAOEM,MATCH(sys_KeyOperator&amp;"Inhalation",key_AOEM,0),10)/1.5)*i_AmountAS2))</f>
        <v>#N/A</v>
      </c>
      <c r="G23" s="160" t="e">
        <f>IF(ISBLANK(INDEX(ay_OpExAOEM,MATCH(sys_KeyOperator&amp;"Inhalation",key_AOEM,0),14)), 10^(INDEX(ay_OpExAOEM,MATCH(sys_KeyOperator&amp;"Inhalation",key_AOEM,0),11) +(LOG(i_AmountAS2)*INDEX(ay_OpExAOEM,MATCH(sys_KeyOperator&amp;"Inhalation",key_AOEM,0),12)) +INDEX(ay_OpExAOEM,MATCH(sys_KeyOperator&amp;"Inhalation",key_AOEM,0),13)),MAX(INDEX(ay_OpExAOEM,MATCH(sys_KeyOperator&amp;"Inhalation",key_AOEM,0),14),(INDEX(ay_OpExAOEM,MATCH(sys_KeyOperator&amp;"Inhalation",key_AOEM,0),14) /1.5)*i_AmountAS2))</f>
        <v>#N/A</v>
      </c>
      <c r="H23" s="159" t="e">
        <f>IF(ISBLANK(INDEX(ay_OpExAOEM,MATCH(sys_KeyOperator&amp;"Inhalation",key_AOEM,0),10)),10^(INDEX(ay_OpExAOEM,MATCH(sys_KeyOperator&amp;"Inhalation",key_AOEM,0),7)+(LOG(i_AmountAS3)*INDEX(ay_OpExAOEM,MATCH(sys_KeyOperator&amp;"Inhalation",key_AOEM,0),8))+INDEX(ay_OpExAOEM,MATCH(sys_KeyOperator&amp;"Inhalation",key_AOEM,0),9)),MAX(INDEX(ay_OpExAOEM,MATCH(sys_KeyOperator&amp;"Inhalation",key_AOEM,0),10),(INDEX(ay_OpExAOEM,MATCH(sys_KeyOperator&amp;"Inhalation",key_AOEM,0),10)/1.5)*i_AmountAS3))</f>
        <v>#N/A</v>
      </c>
      <c r="I23" s="160" t="e">
        <f>IF(ISBLANK(INDEX(ay_OpExAOEM,MATCH(sys_KeyOperator&amp;"Inhalation",key_AOEM,0),14)), 10^(INDEX(ay_OpExAOEM,MATCH(sys_KeyOperator&amp;"Inhalation",key_AOEM,0),11) +(LOG(i_AmountAS3)*INDEX(ay_OpExAOEM,MATCH(sys_KeyOperator&amp;"Inhalation",key_AOEM,0),12)) +INDEX(ay_OpExAOEM,MATCH(sys_KeyOperator&amp;"Inhalation",key_AOEM,0),13)),MAX(INDEX(ay_OpExAOEM,MATCH(sys_KeyOperator&amp;"Inhalation",key_AOEM,0),14),(INDEX(ay_OpExAOEM,MATCH(sys_KeyOperator&amp;"Inhalation",key_AOEM,0),14) /1.5)*i_AmountAS3))</f>
        <v>#N/A</v>
      </c>
      <c r="J23" s="159" t="e">
        <f>IF(ISBLANK(INDEX(ay_OpExAOEM,MATCH(sys_KeyOperator&amp;"Inhalation",key_AOEM,0),10)),10^(INDEX(ay_OpExAOEM,MATCH(sys_KeyOperator&amp;"Inhalation",key_AOEM,0),7)+(LOG(i_AmountAS4)*INDEX(ay_OpExAOEM,MATCH(sys_KeyOperator&amp;"Inhalation",key_AOEM,0),8))+INDEX(ay_OpExAOEM,MATCH(sys_KeyOperator&amp;"Inhalation",key_AOEM,0),9)),MAX(INDEX(ay_OpExAOEM,MATCH(sys_KeyOperator&amp;"Inhalation",key_AOEM,0),10),(INDEX(ay_OpExAOEM,MATCH(sys_KeyOperator&amp;"Inhalation",key_AOEM,0),10)/1.5)*i_AmountAS4))</f>
        <v>#N/A</v>
      </c>
      <c r="K23" s="160" t="e">
        <f>IF(ISBLANK(INDEX(ay_OpExAOEM,MATCH(sys_KeyOperator&amp;"Inhalation",key_AOEM,0),14)), 10^(INDEX(ay_OpExAOEM,MATCH(sys_KeyOperator&amp;"Inhalation",key_AOEM,0),11) +(LOG(i_AmountAS4)*INDEX(ay_OpExAOEM,MATCH(sys_KeyOperator&amp;"Inhalation",key_AOEM,0),12)) +INDEX(ay_OpExAOEM,MATCH(sys_KeyOperator&amp;"Inhalation",key_AOEM,0),13)),MAX(INDEX(ay_OpExAOEM,MATCH(sys_KeyOperator&amp;"Inhalation",key_AOEM,0),14),(INDEX(ay_OpExAOEM,MATCH(sys_KeyOperator&amp;"Inhalation",key_AOEM,0),14) /1.5)*i_AmountAS4))</f>
        <v>#N/A</v>
      </c>
      <c r="L23" s="162" t="s">
        <v>419</v>
      </c>
      <c r="M23" s="646"/>
    </row>
    <row r="24" spans="1:23" ht="75.75" hidden="1" thickBot="1">
      <c r="A24" s="27"/>
      <c r="B24" s="872"/>
      <c r="C24" s="335" t="s">
        <v>424</v>
      </c>
      <c r="D24" s="878" t="s">
        <v>425</v>
      </c>
      <c r="E24" s="879"/>
      <c r="F24" s="279"/>
      <c r="G24" s="280"/>
      <c r="H24" s="280"/>
      <c r="I24" s="280"/>
      <c r="J24" s="280"/>
      <c r="K24" s="316"/>
      <c r="L24" s="165" t="s">
        <v>426</v>
      </c>
      <c r="M24" s="645" t="s">
        <v>427</v>
      </c>
    </row>
    <row r="25" spans="1:23" ht="15.75" hidden="1" thickBot="1">
      <c r="A25" s="27"/>
      <c r="B25" s="872"/>
      <c r="C25" s="141" t="s">
        <v>428</v>
      </c>
      <c r="D25" s="853" t="str">
        <f>'Operator Spray'!D25</f>
        <v>No</v>
      </c>
      <c r="E25" s="854"/>
      <c r="F25" s="281"/>
      <c r="G25" s="31"/>
      <c r="H25" s="31"/>
      <c r="I25" s="31"/>
      <c r="J25" s="31"/>
      <c r="K25" s="163"/>
      <c r="L25" s="168" t="str">
        <f>IF(D25="Yes","Incl. in AOEM model","")</f>
        <v/>
      </c>
      <c r="M25" s="37"/>
    </row>
    <row r="26" spans="1:23" ht="30.75" hidden="1" customHeight="1" thickBot="1">
      <c r="A26" s="27"/>
      <c r="B26" s="872"/>
      <c r="C26" s="138" t="s">
        <v>429</v>
      </c>
      <c r="D26" s="853" t="str">
        <f>'Operator Spray'!D26</f>
        <v>Work wear - arms, body and legs covered</v>
      </c>
      <c r="E26" s="854"/>
      <c r="F26" s="281"/>
      <c r="G26" s="31"/>
      <c r="H26" s="31"/>
      <c r="I26" s="31"/>
      <c r="J26" s="31"/>
      <c r="K26" s="163"/>
      <c r="L26" s="168" t="s">
        <v>430</v>
      </c>
      <c r="M26" s="37"/>
    </row>
    <row r="27" spans="1:23" ht="30" hidden="1" customHeight="1" thickBot="1">
      <c r="A27" s="27"/>
      <c r="B27" s="872"/>
      <c r="C27" s="284" t="s">
        <v>431</v>
      </c>
      <c r="D27" s="853" t="str">
        <f>'Operator Spray'!D27</f>
        <v>None</v>
      </c>
      <c r="E27" s="854"/>
      <c r="F27" s="281"/>
      <c r="G27" s="31"/>
      <c r="H27" s="31"/>
      <c r="I27" s="31"/>
      <c r="J27" s="31"/>
      <c r="K27" s="163"/>
      <c r="L27" s="166">
        <f>IF(AND(i_AppEquip="Manual-Hand held",D27="Hood and visor"),"Incl. in AOEM model",INDEX(ay_MixPPEHead,MATCH(D27,key_MixPPEHead,0),2))</f>
        <v>1</v>
      </c>
      <c r="M27" s="167">
        <f>IF(OR(D27="Hood and visor",D27="Hood"),1,INDEX(ay_MixRPE,MATCH(D27,key_MixRPE,0),2))</f>
        <v>1</v>
      </c>
    </row>
    <row r="28" spans="1:23" ht="15.75" hidden="1" thickBot="1">
      <c r="A28" s="27"/>
      <c r="B28" s="872"/>
      <c r="C28" s="142" t="s">
        <v>432</v>
      </c>
      <c r="D28" s="853" t="str">
        <f>'Operator Spray'!D28</f>
        <v>No</v>
      </c>
      <c r="E28" s="854"/>
      <c r="F28" s="282"/>
      <c r="G28" s="283"/>
      <c r="H28" s="283"/>
      <c r="I28" s="283"/>
      <c r="J28" s="283"/>
      <c r="K28" s="164"/>
      <c r="L28" s="166">
        <f>IF(AND(D28="Yes"),0.1,1)</f>
        <v>1</v>
      </c>
      <c r="M28" s="39"/>
    </row>
    <row r="29" spans="1:23" ht="19.5" thickBot="1">
      <c r="A29" s="27"/>
      <c r="B29" s="871" t="s">
        <v>366</v>
      </c>
      <c r="C29" s="278"/>
      <c r="D29" s="873">
        <f>i_SubstName1</f>
        <v>0</v>
      </c>
      <c r="E29" s="874"/>
      <c r="F29" s="873">
        <f>i_SubstName2</f>
        <v>0</v>
      </c>
      <c r="G29" s="874"/>
      <c r="H29" s="873">
        <f>i_SubstName3</f>
        <v>0</v>
      </c>
      <c r="I29" s="874"/>
      <c r="J29" s="873">
        <f>i_SubstName4</f>
        <v>0</v>
      </c>
      <c r="K29" s="874"/>
      <c r="L29" s="278"/>
      <c r="M29" s="64"/>
    </row>
    <row r="30" spans="1:23" ht="15" customHeight="1" thickBot="1">
      <c r="A30" s="27"/>
      <c r="B30" s="871"/>
      <c r="C30" s="875" t="s">
        <v>413</v>
      </c>
      <c r="D30" s="877" t="s">
        <v>433</v>
      </c>
      <c r="E30" s="863"/>
      <c r="F30" s="877" t="s">
        <v>433</v>
      </c>
      <c r="G30" s="863"/>
      <c r="H30" s="861" t="s">
        <v>433</v>
      </c>
      <c r="I30" s="863"/>
      <c r="J30" s="877" t="s">
        <v>433</v>
      </c>
      <c r="K30" s="863"/>
      <c r="L30" s="861" t="s">
        <v>415</v>
      </c>
      <c r="M30" s="863" t="s">
        <v>416</v>
      </c>
    </row>
    <row r="31" spans="1:23" ht="32.25" customHeight="1" thickBot="1">
      <c r="A31" s="27"/>
      <c r="B31" s="871"/>
      <c r="C31" s="876"/>
      <c r="D31" s="169" t="s">
        <v>145</v>
      </c>
      <c r="E31" s="170" t="s">
        <v>417</v>
      </c>
      <c r="F31" s="169" t="s">
        <v>145</v>
      </c>
      <c r="G31" s="170" t="s">
        <v>417</v>
      </c>
      <c r="H31" s="171" t="s">
        <v>145</v>
      </c>
      <c r="I31" s="170" t="s">
        <v>417</v>
      </c>
      <c r="J31" s="169" t="s">
        <v>145</v>
      </c>
      <c r="K31" s="170" t="s">
        <v>417</v>
      </c>
      <c r="L31" s="862"/>
      <c r="M31" s="864"/>
    </row>
    <row r="32" spans="1:23" ht="21" customHeight="1" thickBot="1">
      <c r="A32" s="27"/>
      <c r="B32" s="871"/>
      <c r="C32" s="172" t="s">
        <v>418</v>
      </c>
      <c r="D32" s="173" t="e">
        <f>IF(ISBLANK(INDEX(ay_OpExAOEM,MATCH(sys_KeyOperator&amp;"Hands",key_AOEM,0),18)),10^(INDEX(ay_OpExAOEM,MATCH(sys_KeyOperator&amp;"Hands",key_AOEM,0),15)+(LOG(0.1*i_AmountAS1)*INDEX(ay_OpExAOEM,MATCH(sys_KeyOperator&amp;"Hands",key_AOEM,0),16))+  IF(AND(i_AppMeth="Upward spraying",LEFT(i_AppEquip,15)="Vehicle-mounted",d_AppPfCaBfR = "Yes"),0,IF(AND(i_Season = "late (dense foliage)",i_AppMeth="Upward spraying",OR(i_AppEquip="Manual-Hand held",i_AppEquip="Manual-Knapsack")),0,INDEX(ay_OpExAOEM,MATCH(sys_KeyOperator&amp;"Hands",key_AOEM,0),17)))   ),MAX(INDEX(ay_OpExAOEM,MATCH(sys_KeyOperator&amp;"Hands",key_AOEM,0),18),(INDEX(ay_OpExAOEM,MATCH(sys_KeyOperator&amp;"Hands",key_AOEM,0),18)/d_PctExtrapolation)*0.1*i_AmountAS1))</f>
        <v>#N/A</v>
      </c>
      <c r="E32" s="174" t="e">
        <f>IF(ISBLANK(INDEX(ay_OpExAOEM,MATCH(sys_KeyOperator&amp;"Hands",key_AOEM,0),22)),10^(INDEX(ay_OpExAOEM,MATCH(sys_KeyOperator&amp;"Hands",key_AOEM,0),19)+(LOG(0.1*i_AmountAS1)*INDEX(ay_OpExAOEM,MATCH(sys_KeyOperator&amp;"Hands",key_AOEM,0),20))+  IF(AND(i_AppMeth="Upward spraying",LEFT(i_AppEquip,15)="Vehicle-mounted",d_AppPfCaBfR = "Yes"),0,IF(AND(i_Season = "late (dense foliage)",i_AppMeth="Upward spraying",OR(i_AppEquip="Manual-Hand held",i_AppEquip="Manual-Knapsack")),0,INDEX(ay_OpExAOEM,MATCH(sys_KeyOperator&amp;"Hands",key_AOEM,0),21)))   ),MAX(INDEX(ay_OpExAOEM,MATCH(sys_KeyOperator&amp;"Hands",key_AOEM,0),22),(INDEX(ay_OpExAOEM,MATCH(sys_KeyOperator&amp;"Hands",key_AOEM,0),22)/d_PctExtrapolation)*0.1*i_AmountAS1))</f>
        <v>#N/A</v>
      </c>
      <c r="F32" s="173" t="e">
        <f>IF(ISBLANK(INDEX(ay_OpExAOEM,MATCH(sys_KeyOperator&amp;"Hands",key_AOEM,0),18)),10^(INDEX(ay_OpExAOEM,MATCH(sys_KeyOperator&amp;"Hands",key_AOEM,0),15)+(LOG(0.1*i_AmountAS2)*INDEX(ay_OpExAOEM,MATCH(sys_KeyOperator&amp;"Hands",key_AOEM,0),16))+  IF(AND(i_AppMeth="Upward spraying",LEFT(i_AppEquip,15)="Vehicle-mounted",d_AppPfCaBfR = "Yes"),0,IF(AND(i_Season = "late (dense foliage)",i_AppMeth="Upward spraying",OR(i_AppEquip="Manual-Hand held",i_AppEquip="Manual-Knapsack")),0,INDEX(ay_OpExAOEM,MATCH(sys_KeyOperator&amp;"Hands",key_AOEM,0),17)))   ),MAX(INDEX(ay_OpExAOEM,MATCH(sys_KeyOperator&amp;"Hands",key_AOEM,0),18),(INDEX(ay_OpExAOEM,MATCH(sys_KeyOperator&amp;"Hands",key_AOEM,0),18)/d_PctExtrapolation)*0.1*i_AmountAS2))</f>
        <v>#N/A</v>
      </c>
      <c r="G32" s="174" t="e">
        <f>IF(ISBLANK(INDEX(ay_OpExAOEM,MATCH(sys_KeyOperator&amp;"Hands",key_AOEM,0),22)),10^(INDEX(ay_OpExAOEM,MATCH(sys_KeyOperator&amp;"Hands",key_AOEM,0),19)+(LOG(0.1*i_AmountAS2)*INDEX(ay_OpExAOEM,MATCH(sys_KeyOperator&amp;"Hands",key_AOEM,0),20))+  IF(AND(i_AppMeth="Upward spraying",LEFT(i_AppEquip,15)="Vehicle-mounted",d_AppPfCaBfR = "Yes"),0,IF(AND(i_Season = "late (dense foliage)",i_AppMeth="Upward spraying",OR(i_AppEquip="Manual-Hand held",i_AppEquip="Manual-Knapsack")),0,INDEX(ay_OpExAOEM,MATCH(sys_KeyOperator&amp;"Hands",key_AOEM,0),21)))   ),MAX(INDEX(ay_OpExAOEM,MATCH(sys_KeyOperator&amp;"Hands",key_AOEM,0),22),(INDEX(ay_OpExAOEM,MATCH(sys_KeyOperator&amp;"Hands",key_AOEM,0),22)/d_PctExtrapolation)*0.1*i_AmountAS2))</f>
        <v>#N/A</v>
      </c>
      <c r="H32" s="175" t="e">
        <f>IF(ISBLANK(INDEX(ay_OpExAOEM,MATCH(sys_KeyOperator&amp;"Hands",key_AOEM,0),18)),10^(INDEX(ay_OpExAOEM,MATCH(sys_KeyOperator&amp;"Hands",key_AOEM,0),15)+(LOG(0.1*i_AmountAS3)*INDEX(ay_OpExAOEM,MATCH(sys_KeyOperator&amp;"Hands",key_AOEM,0),16))+  IF(AND(i_AppMeth="Upward spraying",LEFT(i_AppEquip,15)="Vehicle-mounted",d_AppPfCaBfR = "Yes"),0,IF(AND(i_Season = "late (dense foliage)",i_AppMeth="Upward spraying",OR(i_AppEquip="Manual-Hand held",i_AppEquip="Manual-Knapsack")),0,INDEX(ay_OpExAOEM,MATCH(sys_KeyOperator&amp;"Hands",key_AOEM,0),17)))   ),MAX(INDEX(ay_OpExAOEM,MATCH(sys_KeyOperator&amp;"Hands",key_AOEM,0),18),(INDEX(ay_OpExAOEM,MATCH(sys_KeyOperator&amp;"Hands",key_AOEM,0),18)/d_PctExtrapolation)*0.1*i_AmountAS3))</f>
        <v>#N/A</v>
      </c>
      <c r="I32" s="174" t="e">
        <f>IF(ISBLANK(INDEX(ay_OpExAOEM,MATCH(sys_KeyOperator&amp;"Hands",key_AOEM,0),22)),10^(INDEX(ay_OpExAOEM,MATCH(sys_KeyOperator&amp;"Hands",key_AOEM,0),19)+(LOG(0.1*i_AmountAS3)*INDEX(ay_OpExAOEM,MATCH(sys_KeyOperator&amp;"Hands",key_AOEM,0),20))+  IF(AND(i_AppMeth="Upward spraying",LEFT(i_AppEquip,15)="Vehicle-mounted",d_AppPfCaBfR = "Yes"),0,IF(AND(i_Season = "late (dense foliage)",i_AppMeth="Upward spraying",OR(i_AppEquip="Manual-Hand held",i_AppEquip="Manual-Knapsack")),0,INDEX(ay_OpExAOEM,MATCH(sys_KeyOperator&amp;"Hands",key_AOEM,0),21)))   ),MAX(INDEX(ay_OpExAOEM,MATCH(sys_KeyOperator&amp;"Hands",key_AOEM,0),22),(INDEX(ay_OpExAOEM,MATCH(sys_KeyOperator&amp;"Hands",key_AOEM,0),22)/d_PctExtrapolation)*0.1*i_AmountAS3))</f>
        <v>#N/A</v>
      </c>
      <c r="J32" s="173" t="e">
        <f>IF(ISBLANK(INDEX(ay_OpExAOEM,MATCH(sys_KeyOperator&amp;"Hands",key_AOEM,0),18)),10^(INDEX(ay_OpExAOEM,MATCH(sys_KeyOperator&amp;"Hands",key_AOEM,0),15)+(LOG(0.1*i_AmountAS4)*INDEX(ay_OpExAOEM,MATCH(sys_KeyOperator&amp;"Hands",key_AOEM,0),16))+  IF(AND(i_AppMeth="Upward spraying",LEFT(i_AppEquip,15)="Vehicle-mounted",d_AppPfCaBfR = "Yes"),0,IF(AND(i_Season = "late (dense foliage)",i_AppMeth="Upward spraying",OR(i_AppEquip="Manual-Hand held",i_AppEquip="Manual-Knapsack")),0,INDEX(ay_OpExAOEM,MATCH(sys_KeyOperator&amp;"Hands",key_AOEM,0),17)))   ),MAX(INDEX(ay_OpExAOEM,MATCH(sys_KeyOperator&amp;"Hands",key_AOEM,0),18),(INDEX(ay_OpExAOEM,MATCH(sys_KeyOperator&amp;"Hands",key_AOEM,0),18)/d_PctExtrapolation)*0.1*i_AmountAS4))</f>
        <v>#N/A</v>
      </c>
      <c r="K32" s="174" t="e">
        <f>IF(ISBLANK(INDEX(ay_OpExAOEM,MATCH(sys_KeyOperator&amp;"Hands",key_AOEM,0),22)),10^(INDEX(ay_OpExAOEM,MATCH(sys_KeyOperator&amp;"Hands",key_AOEM,0),19)+(LOG(0.1*i_AmountAS4)*INDEX(ay_OpExAOEM,MATCH(sys_KeyOperator&amp;"Hands",key_AOEM,0),20))+  IF(AND(i_AppMeth="Upward spraying",LEFT(i_AppEquip,15)="Vehicle-mounted",d_AppPfCaBfR = "Yes"),0,IF(AND(i_Season = "late (dense foliage)",i_AppMeth="Upward spraying",OR(i_AppEquip="Manual-Hand held",i_AppEquip="Manual-Knapsack")),0,INDEX(ay_OpExAOEM,MATCH(sys_KeyOperator&amp;"Hands",key_AOEM,0),21)))   ),MAX(INDEX(ay_OpExAOEM,MATCH(sys_KeyOperator&amp;"Hands",key_AOEM,0),22),(INDEX(ay_OpExAOEM,MATCH(sys_KeyOperator&amp;"Hands",key_AOEM,0),22)/d_PctExtrapolation)*0.1*i_AmountAS4))</f>
        <v>#N/A</v>
      </c>
      <c r="L32" s="176" t="s">
        <v>419</v>
      </c>
      <c r="M32" s="865" t="str">
        <f>IF(AND(d_AreaTreated=10,i_AppMeth="Downward spraying"),IF(i_AppEquip="Vehicle-mounted-Drift Reduction","Small area equipment and drift reduction cannot be selected together - drift reduction has not been applied","This scenario assumes that small area equipment is used"),IF(i_AppMeth="Upward spraying", "No data available for a drift reduction scenario","") )</f>
        <v/>
      </c>
      <c r="S32" s="40"/>
      <c r="W32" s="40"/>
    </row>
    <row r="33" spans="1:23" ht="21" customHeight="1" thickBot="1">
      <c r="A33" s="27"/>
      <c r="B33" s="871"/>
      <c r="C33" s="138" t="s">
        <v>420</v>
      </c>
      <c r="D33" s="148" t="e">
        <f>IF(ISBLANK(INDEX(ay_OpExAOEM,MATCH(sys_KeyOperator&amp;"Body",key_AOEM,0),18)),10^(INDEX(ay_OpExAOEM,MATCH(sys_KeyOperator&amp;"Body",key_AOEM,0),15)+(LOG(0.1*i_AmountAS1)*INDEX(ay_OpExAOEM,MATCH(sys_KeyOperator&amp;"Body",key_AOEM,0),16))+  IF(AND(i_AppMeth="Upward spraying",LEFT(i_AppEquip,15)="Vehicle-mounted",d_AppPfCaBfR = "Yes"),0,IF(AND(i_Season = "late (dense foliage)",i_AppMeth="Upward spraying",OR(i_AppEquip="Manual-Hand held",i_AppEquip="Manual-Knapsack")),0,INDEX(ay_OpExAOEM,MATCH(sys_KeyOperator&amp;"Body",key_AOEM,0),17)))   ),MAX(INDEX(ay_OpExAOEM,MATCH(sys_KeyOperator&amp;"Body",key_AOEM,0),18),(INDEX(ay_OpExAOEM,MATCH(sys_KeyOperator&amp;"Body",key_AOEM,0),18)/d_PctExtrapolation)*0.1*i_AmountAS1))</f>
        <v>#N/A</v>
      </c>
      <c r="E33" s="149" t="e">
        <f>IF(ISBLANK(INDEX(ay_OpExAOEM,MATCH(sys_KeyOperator&amp;"Body",key_AOEM,0),22)),10^(INDEX(ay_OpExAOEM,MATCH(sys_KeyOperator&amp;"Body",key_AOEM,0),19)+(LOG(0.1*i_AmountAS1)*INDEX(ay_OpExAOEM,MATCH(sys_KeyOperator&amp;"Body",key_AOEM,0),20))+  IF(AND(i_AppMeth="Upward spraying",LEFT(i_AppEquip,15)="Vehicle-mounted",d_AppPfCaBfR = "Yes"),0,IF(AND(i_Season = "late (dense foliage)",i_AppMeth="Upward spraying",OR(i_AppEquip="Manual-Hand held",i_AppEquip="Manual-Knapsack")),0,INDEX(ay_OpExAOEM,MATCH(sys_KeyOperator&amp;"Body",key_AOEM,0),21)))   ),MAX(INDEX(ay_OpExAOEM,MATCH(sys_KeyOperator&amp;"Body",key_AOEM,0),22),(INDEX(ay_OpExAOEM,MATCH(sys_KeyOperator&amp;"Body",key_AOEM,0),22)/d_PctExtrapolation)*0.1*i_AmountAS1))</f>
        <v>#N/A</v>
      </c>
      <c r="F33" s="148" t="e">
        <f>IF(ISBLANK(INDEX(ay_OpExAOEM,MATCH(sys_KeyOperator&amp;"Body",key_AOEM,0),18)),10^(INDEX(ay_OpExAOEM,MATCH(sys_KeyOperator&amp;"Body",key_AOEM,0),15)+(LOG(0.1*i_AmountAS2)*INDEX(ay_OpExAOEM,MATCH(sys_KeyOperator&amp;"Body",key_AOEM,0),16))+  IF(AND(i_AppMeth="Upward spraying",LEFT(i_AppEquip,15)="Vehicle-mounted",d_AppPfCaBfR = "Yes"),0,IF(AND(i_Season = "late (dense foliage)",i_AppMeth="Upward spraying",OR(i_AppEquip="Manual-Hand held",i_AppEquip="Manual-Knapsack")),0,INDEX(ay_OpExAOEM,MATCH(sys_KeyOperator&amp;"Body",key_AOEM,0),17)))   ),MAX(INDEX(ay_OpExAOEM,MATCH(sys_KeyOperator&amp;"Body",key_AOEM,0),18),(INDEX(ay_OpExAOEM,MATCH(sys_KeyOperator&amp;"Body",key_AOEM,0),18)/d_PctExtrapolation)*0.1*i_AmountAS2))</f>
        <v>#N/A</v>
      </c>
      <c r="G33" s="149" t="e">
        <f>IF(ISBLANK(INDEX(ay_OpExAOEM,MATCH(sys_KeyOperator&amp;"Body",key_AOEM,0),22)),10^(INDEX(ay_OpExAOEM,MATCH(sys_KeyOperator&amp;"Body",key_AOEM,0),19)+(LOG(0.1*i_AmountAS2)*INDEX(ay_OpExAOEM,MATCH(sys_KeyOperator&amp;"Body",key_AOEM,0),20))+  IF(AND(i_AppMeth="Upward spraying",LEFT(i_AppEquip,15)="Vehicle-mounted",d_AppPfCaBfR = "Yes"),0,IF(AND(i_Season = "late (dense foliage)",i_AppMeth="Upward spraying",OR(i_AppEquip="Manual-Hand held",i_AppEquip="Manual-Knapsack")),0,INDEX(ay_OpExAOEM,MATCH(sys_KeyOperator&amp;"Body",key_AOEM,0),21)))   ),MAX(INDEX(ay_OpExAOEM,MATCH(sys_KeyOperator&amp;"Body",key_AOEM,0),22),(INDEX(ay_OpExAOEM,MATCH(sys_KeyOperator&amp;"Body",key_AOEM,0),22)/d_PctExtrapolation)*0.1*i_AmountAS2))</f>
        <v>#N/A</v>
      </c>
      <c r="H33" s="144" t="e">
        <f>IF(ISBLANK(INDEX(ay_OpExAOEM,MATCH(sys_KeyOperator&amp;"Body",key_AOEM,0),18)),10^(INDEX(ay_OpExAOEM,MATCH(sys_KeyOperator&amp;"Body",key_AOEM,0),15)+(LOG(0.1*i_AmountAS3)*INDEX(ay_OpExAOEM,MATCH(sys_KeyOperator&amp;"Body",key_AOEM,0),16))+  IF(AND(i_AppMeth="Upward spraying",LEFT(i_AppEquip,15)="Vehicle-mounted",d_AppPfCaBfR = "Yes"),0,IF(AND(i_Season = "late (dense foliage)",i_AppMeth="Upward spraying",OR(i_AppEquip="Manual-Hand held",i_AppEquip="Manual-Knapsack")),0,INDEX(ay_OpExAOEM,MATCH(sys_KeyOperator&amp;"Body",key_AOEM,0),17)))   ),MAX(INDEX(ay_OpExAOEM,MATCH(sys_KeyOperator&amp;"Body",key_AOEM,0),18),(INDEX(ay_OpExAOEM,MATCH(sys_KeyOperator&amp;"Body",key_AOEM,0),18)/d_PctExtrapolation)*0.1*i_AmountAS3))</f>
        <v>#N/A</v>
      </c>
      <c r="I33" s="149" t="e">
        <f>IF(ISBLANK(INDEX(ay_OpExAOEM,MATCH(sys_KeyOperator&amp;"Body",key_AOEM,0),22)),10^(INDEX(ay_OpExAOEM,MATCH(sys_KeyOperator&amp;"Body",key_AOEM,0),19)+(LOG(0.1*i_AmountAS3)*INDEX(ay_OpExAOEM,MATCH(sys_KeyOperator&amp;"Body",key_AOEM,0),20))+  IF(AND(i_AppMeth="Upward spraying",LEFT(i_AppEquip,15)="Vehicle-mounted",d_AppPfCaBfR = "Yes"),0,IF(AND(i_Season = "late (dense foliage)",i_AppMeth="Upward spraying",OR(i_AppEquip="Manual-Hand held",i_AppEquip="Manual-Knapsack")),0,INDEX(ay_OpExAOEM,MATCH(sys_KeyOperator&amp;"Body",key_AOEM,0),21)))   ),MAX(INDEX(ay_OpExAOEM,MATCH(sys_KeyOperator&amp;"Body",key_AOEM,0),22),(INDEX(ay_OpExAOEM,MATCH(sys_KeyOperator&amp;"Body",key_AOEM,0),22)/d_PctExtrapolation)*0.1*i_AmountAS3))</f>
        <v>#N/A</v>
      </c>
      <c r="J33" s="148" t="e">
        <f>IF(ISBLANK(INDEX(ay_OpExAOEM,MATCH(sys_KeyOperator&amp;"Body",key_AOEM,0),18)),10^(INDEX(ay_OpExAOEM,MATCH(sys_KeyOperator&amp;"Body",key_AOEM,0),15)+(LOG(0.1*i_AmountAS4)*INDEX(ay_OpExAOEM,MATCH(sys_KeyOperator&amp;"Body",key_AOEM,0),16))+  IF(AND(i_AppMeth="Upward spraying",LEFT(i_AppEquip,15)="Vehicle-mounted",d_AppPfCaBfR = "Yes"),0,IF(AND(i_Season = "late (dense foliage)",i_AppMeth="Upward spraying",OR(i_AppEquip="Manual-Hand held",i_AppEquip="Manual-Knapsack")),0,INDEX(ay_OpExAOEM,MATCH(sys_KeyOperator&amp;"Body",key_AOEM,0),17)))   ),MAX(INDEX(ay_OpExAOEM,MATCH(sys_KeyOperator&amp;"Body",key_AOEM,0),18),(INDEX(ay_OpExAOEM,MATCH(sys_KeyOperator&amp;"Body",key_AOEM,0),18)/d_PctExtrapolation)*0.1*i_AmountAS4))</f>
        <v>#N/A</v>
      </c>
      <c r="K33" s="149" t="e">
        <f>IF(ISBLANK(INDEX(ay_OpExAOEM,MATCH(sys_KeyOperator&amp;"Body",key_AOEM,0),22)),10^(INDEX(ay_OpExAOEM,MATCH(sys_KeyOperator&amp;"Body",key_AOEM,0),19)+(LOG(0.1*i_AmountAS4)*INDEX(ay_OpExAOEM,MATCH(sys_KeyOperator&amp;"Body",key_AOEM,0),20))+  IF(AND(i_AppMeth="Upward spraying",LEFT(i_AppEquip,15)="Vehicle-mounted",d_AppPfCaBfR = "Yes"),0,IF(AND(i_Season = "late (dense foliage)",i_AppMeth="Upward spraying",OR(i_AppEquip="Manual-Hand held",i_AppEquip="Manual-Knapsack")),0,INDEX(ay_OpExAOEM,MATCH(sys_KeyOperator&amp;"Body",key_AOEM,0),21)))   ),MAX(INDEX(ay_OpExAOEM,MATCH(sys_KeyOperator&amp;"Body",key_AOEM,0),22),(INDEX(ay_OpExAOEM,MATCH(sys_KeyOperator&amp;"Body",key_AOEM,0),22)/d_PctExtrapolation)*0.1*i_AmountAS4))</f>
        <v>#N/A</v>
      </c>
      <c r="L33" s="145" t="s">
        <v>419</v>
      </c>
      <c r="M33" s="866"/>
      <c r="S33" s="40"/>
      <c r="W33" s="40"/>
    </row>
    <row r="34" spans="1:23" ht="21" customHeight="1" thickBot="1">
      <c r="A34" s="27"/>
      <c r="B34" s="871"/>
      <c r="C34" s="139" t="s">
        <v>104</v>
      </c>
      <c r="D34" s="148" t="e">
        <f>IF(ISBLANK(INDEX(ay_OpExAOEM,MATCH(sys_KeyOperator&amp;"Head",key_AOEM,0),18)),10^(INDEX(ay_OpExAOEM,MATCH(sys_KeyOperator&amp;"Head",key_AOEM,0),15)+(LOG(0.1*i_AmountAS1)*INDEX(ay_OpExAOEM,MATCH(sys_KeyOperator&amp;"Head",key_AOEM,0),16))+  IF(AND(i_AppMeth="Upward spraying",LEFT(i_AppEquip,15)="Vehicle-mounted",d_AppPfCaBfR = "Yes"),0,IF(AND(i_Season = "late (dense foliage)",i_AppMeth="Upward spraying",OR(i_AppEquip="Manual-Hand held",i_AppEquip="Manual-Knapsack")),0,INDEX(ay_OpExAOEM,MATCH(sys_KeyOperator&amp;"Head",key_AOEM,0),17)))   ),MAX(INDEX(ay_OpExAOEM,MATCH(sys_KeyOperator&amp;"Head",key_AOEM,0),18),(INDEX(ay_OpExAOEM,MATCH(sys_KeyOperator&amp;"Head",key_AOEM,0),18)/d_PctExtrapolation)*0.1*i_AmountAS1))</f>
        <v>#N/A</v>
      </c>
      <c r="E34" s="149" t="e">
        <f>IF(ISBLANK(INDEX(ay_OpExAOEM,MATCH(sys_KeyOperator&amp;"Head",key_AOEM,0),22)),10^(INDEX(ay_OpExAOEM,MATCH(sys_KeyOperator&amp;"Head",key_AOEM,0),19)+(LOG(0.1*i_AmountAS1)*INDEX(ay_OpExAOEM,MATCH(sys_KeyOperator&amp;"Head",key_AOEM,0),20))+  IF(AND(i_AppMeth="Upward spraying",LEFT(i_AppEquip,15)="Vehicle-mounted",d_AppPfCaBfR = "Yes"),0,IF(AND(i_Season = "late (dense foliage)",i_AppMeth="Upward spraying",OR(i_AppEquip="Manual-Hand held",i_AppEquip="Manual-Knapsack")),0,INDEX(ay_OpExAOEM,MATCH(sys_KeyOperator&amp;"Head",key_AOEM,0),21)))   ),MAX(INDEX(ay_OpExAOEM,MATCH(sys_KeyOperator&amp;"Head",key_AOEM,0),22),(INDEX(ay_OpExAOEM,MATCH(sys_KeyOperator&amp;"Head",key_AOEM,0),22)/d_PctExtrapolation)*0.1*i_AmountAS1))</f>
        <v>#N/A</v>
      </c>
      <c r="F34" s="148" t="e">
        <f>IF(ISBLANK(INDEX(ay_OpExAOEM,MATCH(sys_KeyOperator&amp;"Head",key_AOEM,0),18)),10^(INDEX(ay_OpExAOEM,MATCH(sys_KeyOperator&amp;"Head",key_AOEM,0),15)+(LOG(0.1*i_AmountAS2)*INDEX(ay_OpExAOEM,MATCH(sys_KeyOperator&amp;"Head",key_AOEM,0),16))+  IF(AND(i_AppMeth="Upward spraying",LEFT(i_AppEquip,15)="Vehicle-mounted",d_AppPfCaBfR = "Yes"),0,IF(AND(i_Season = "late (dense foliage)",i_AppMeth="Upward spraying",OR(i_AppEquip="Manual-Hand held",i_AppEquip="Manual-Knapsack")),0,INDEX(ay_OpExAOEM,MATCH(sys_KeyOperator&amp;"Head",key_AOEM,0),17)))   ),MAX(INDEX(ay_OpExAOEM,MATCH(sys_KeyOperator&amp;"Head",key_AOEM,0),18),(INDEX(ay_OpExAOEM,MATCH(sys_KeyOperator&amp;"Head",key_AOEM,0),18)/d_PctExtrapolation)*0.1*i_AmountAS2))</f>
        <v>#N/A</v>
      </c>
      <c r="G34" s="149" t="e">
        <f>IF(ISBLANK(INDEX(ay_OpExAOEM,MATCH(sys_KeyOperator&amp;"Head",key_AOEM,0),22)),10^(INDEX(ay_OpExAOEM,MATCH(sys_KeyOperator&amp;"Head",key_AOEM,0),19)+(LOG(0.1*i_AmountAS2)*INDEX(ay_OpExAOEM,MATCH(sys_KeyOperator&amp;"Head",key_AOEM,0),20))+  IF(AND(i_AppMeth="Upward spraying",LEFT(i_AppEquip,15)="Vehicle-mounted",d_AppPfCaBfR = "Yes"),0,IF(AND(i_Season = "late (dense foliage)",i_AppMeth="Upward spraying",OR(i_AppEquip="Manual-Hand held",i_AppEquip="Manual-Knapsack")),0,INDEX(ay_OpExAOEM,MATCH(sys_KeyOperator&amp;"Head",key_AOEM,0),21)))   ),MAX(INDEX(ay_OpExAOEM,MATCH(sys_KeyOperator&amp;"Head",key_AOEM,0),22),(INDEX(ay_OpExAOEM,MATCH(sys_KeyOperator&amp;"Head",key_AOEM,0),22)/d_PctExtrapolation)*0.1*i_AmountAS2))</f>
        <v>#N/A</v>
      </c>
      <c r="H34" s="144" t="e">
        <f>IF(ISBLANK(INDEX(ay_OpExAOEM,MATCH(sys_KeyOperator&amp;"Head",key_AOEM,0),18)),10^(INDEX(ay_OpExAOEM,MATCH(sys_KeyOperator&amp;"Head",key_AOEM,0),15)+(LOG(0.1*i_AmountAS3)*INDEX(ay_OpExAOEM,MATCH(sys_KeyOperator&amp;"Head",key_AOEM,0),16))+  IF(AND(i_AppMeth="Upward spraying",LEFT(i_AppEquip,15)="Vehicle-mounted",d_AppPfCaBfR = "Yes"),0,IF(AND(i_Season = "late (dense foliage)",i_AppMeth="Upward spraying",OR(i_AppEquip="Manual-Hand held",i_AppEquip="Manual-Knapsack")),0,INDEX(ay_OpExAOEM,MATCH(sys_KeyOperator&amp;"Head",key_AOEM,0),17)))   ),MAX(INDEX(ay_OpExAOEM,MATCH(sys_KeyOperator&amp;"Head",key_AOEM,0),18),(INDEX(ay_OpExAOEM,MATCH(sys_KeyOperator&amp;"Head",key_AOEM,0),18)/d_PctExtrapolation)*0.1*i_AmountAS3))</f>
        <v>#N/A</v>
      </c>
      <c r="I34" s="149" t="e">
        <f>IF(ISBLANK(INDEX(ay_OpExAOEM,MATCH(sys_KeyOperator&amp;"Head",key_AOEM,0),22)),10^(INDEX(ay_OpExAOEM,MATCH(sys_KeyOperator&amp;"Head",key_AOEM,0),19)+(LOG(0.1*i_AmountAS3)*INDEX(ay_OpExAOEM,MATCH(sys_KeyOperator&amp;"Head",key_AOEM,0),20))+  IF(AND(i_AppMeth="Upward spraying",LEFT(i_AppEquip,15)="Vehicle-mounted",d_AppPfCaBfR = "Yes"),0,IF(AND(i_Season = "late (dense foliage)",i_AppMeth="Upward spraying",OR(i_AppEquip="Manual-Hand held",i_AppEquip="Manual-Knapsack")),0,INDEX(ay_OpExAOEM,MATCH(sys_KeyOperator&amp;"Head",key_AOEM,0),21)))   ),MAX(INDEX(ay_OpExAOEM,MATCH(sys_KeyOperator&amp;"Head",key_AOEM,0),22),(INDEX(ay_OpExAOEM,MATCH(sys_KeyOperator&amp;"Head",key_AOEM,0),22)/d_PctExtrapolation)*0.1*i_AmountAS3))</f>
        <v>#N/A</v>
      </c>
      <c r="J34" s="148" t="e">
        <f>IF(ISBLANK(INDEX(ay_OpExAOEM,MATCH(sys_KeyOperator&amp;"Head",key_AOEM,0),18)),10^(INDEX(ay_OpExAOEM,MATCH(sys_KeyOperator&amp;"Head",key_AOEM,0),15)+(LOG(0.1*i_AmountAS4)*INDEX(ay_OpExAOEM,MATCH(sys_KeyOperator&amp;"Head",key_AOEM,0),16))+  IF(AND(i_AppMeth="Upward spraying",LEFT(i_AppEquip,15)="Vehicle-mounted",d_AppPfCaBfR = "Yes"),0,IF(AND(i_Season = "late (dense foliage)",i_AppMeth="Upward spraying",OR(i_AppEquip="Manual-Hand held",i_AppEquip="Manual-Knapsack")),0,INDEX(ay_OpExAOEM,MATCH(sys_KeyOperator&amp;"Head",key_AOEM,0),17)))   ),MAX(INDEX(ay_OpExAOEM,MATCH(sys_KeyOperator&amp;"Head",key_AOEM,0),18),(INDEX(ay_OpExAOEM,MATCH(sys_KeyOperator&amp;"Head",key_AOEM,0),18)/d_PctExtrapolation)*0.1*i_AmountAS4))</f>
        <v>#N/A</v>
      </c>
      <c r="K34" s="149" t="e">
        <f>IF(ISBLANK(INDEX(ay_OpExAOEM,MATCH(sys_KeyOperator&amp;"Head",key_AOEM,0),22)),10^(INDEX(ay_OpExAOEM,MATCH(sys_KeyOperator&amp;"Head",key_AOEM,0),19)+(LOG(0.1*i_AmountAS4)*INDEX(ay_OpExAOEM,MATCH(sys_KeyOperator&amp;"Head",key_AOEM,0),20))+  IF(AND(i_AppMeth="Upward spraying",LEFT(i_AppEquip,15)="Vehicle-mounted",d_AppPfCaBfR = "Yes"),0,IF(AND(i_Season = "late (dense foliage)",i_AppMeth="Upward spraying",OR(i_AppEquip="Manual-Hand held",i_AppEquip="Manual-Knapsack")),0,INDEX(ay_OpExAOEM,MATCH(sys_KeyOperator&amp;"Head",key_AOEM,0),21)))   ),MAX(INDEX(ay_OpExAOEM,MATCH(sys_KeyOperator&amp;"Head",key_AOEM,0),22),(INDEX(ay_OpExAOEM,MATCH(sys_KeyOperator&amp;"Head",key_AOEM,0),22)/d_PctExtrapolation)*0.1*i_AmountAS4))</f>
        <v>#N/A</v>
      </c>
      <c r="L34" s="145" t="s">
        <v>419</v>
      </c>
      <c r="M34" s="866"/>
      <c r="S34" s="40"/>
      <c r="W34" s="40"/>
    </row>
    <row r="35" spans="1:23" ht="31.5" customHeight="1" thickBot="1">
      <c r="A35" s="27"/>
      <c r="B35" s="871"/>
      <c r="C35" s="140" t="s">
        <v>421</v>
      </c>
      <c r="D35" s="148" t="e">
        <f>IF(ISBLANK(INDEX(ay_OpExAOEM,MATCH(sys_KeyOperator&amp;"Protected Hands",key_AOEM,0),18)),10^(INDEX(ay_OpExAOEM,MATCH(sys_KeyOperator&amp;"Protected Hands",key_AOEM,0),15)+(LOG(0.1*i_AmountAS1)*INDEX(ay_OpExAOEM,MATCH(sys_KeyOperator&amp;"Protected Hands",key_AOEM,0),16))+  IF(AND(i_AppMeth="Upward spraying",LEFT(i_AppEquip,15)="Vehicle-mounted",d_AppPfCaBfR = "Yes"),0,IF(AND(i_Season = "late (dense foliage)",i_AppMeth="Upward spraying",OR(i_AppEquip="Manual-Hand held",i_AppEquip="Manual-Knapsack")),0,INDEX(ay_OpExAOEM,MATCH(sys_KeyOperator&amp;"Protected Hands",key_AOEM,0),17)))   ),MAX(INDEX(ay_OpExAOEM,MATCH(sys_KeyOperator&amp;"Protected Hands",key_AOEM,0),18),(INDEX(ay_OpExAOEM,MATCH(sys_KeyOperator&amp;"Protected Hands",key_AOEM,0),18)/d_PctExtrapolation)*0.1*i_AmountAS1))</f>
        <v>#N/A</v>
      </c>
      <c r="E35" s="149" t="e">
        <f>IF(ISBLANK(INDEX(ay_OpExAOEM,MATCH(sys_KeyOperator&amp;"Protected Hands",key_AOEM,0),22)),10^(INDEX(ay_OpExAOEM,MATCH(sys_KeyOperator&amp;"Protected Hands",key_AOEM,0),19)+(LOG(0.1*i_AmountAS1)*INDEX(ay_OpExAOEM,MATCH(sys_KeyOperator&amp;"Protected Hands",key_AOEM,0),20))+  IF(AND(i_AppMeth="Upward spraying",LEFT(i_AppEquip,15)="Vehicle-mounted",d_AppPfCaBfR = "Yes"),0,IF(AND(i_Season = "late (dense foliage)",i_AppMeth="Upward spraying",OR(i_AppEquip="Manual-Hand held",i_AppEquip="Manual-Knapsack")),0,INDEX(ay_OpExAOEM,MATCH(sys_KeyOperator&amp;"Protected Hands",key_AOEM,0),21)))   ),MAX(INDEX(ay_OpExAOEM,MATCH(sys_KeyOperator&amp;"Protected Hands",key_AOEM,0),22),(INDEX(ay_OpExAOEM,MATCH(sys_KeyOperator&amp;"Protected Hands",key_AOEM,0),22)/d_PctExtrapolation)*0.1*i_AmountAS1))</f>
        <v>#N/A</v>
      </c>
      <c r="F35" s="148" t="e">
        <f>IF(ISBLANK(INDEX(ay_OpExAOEM,MATCH(sys_KeyOperator&amp;"Protected Hands",key_AOEM,0),18)),10^(INDEX(ay_OpExAOEM,MATCH(sys_KeyOperator&amp;"Protected Hands",key_AOEM,0),15)+(LOG(0.1*i_AmountAS2)*INDEX(ay_OpExAOEM,MATCH(sys_KeyOperator&amp;"Protected Hands",key_AOEM,0),16))+  IF(AND(i_AppMeth="Upward spraying",LEFT(i_AppEquip,15)="Vehicle-mounted",d_AppPfCaBfR = "Yes"),0,IF(AND(i_Season = "late (dense foliage)",i_AppMeth="Upward spraying",OR(i_AppEquip="Manual-Hand held",i_AppEquip="Manual-Knapsack")),0,INDEX(ay_OpExAOEM,MATCH(sys_KeyOperator&amp;"Protected Hands",key_AOEM,0),17)))   ),MAX(INDEX(ay_OpExAOEM,MATCH(sys_KeyOperator&amp;"Protected Hands",key_AOEM,0),18),(INDEX(ay_OpExAOEM,MATCH(sys_KeyOperator&amp;"Protected Hands",key_AOEM,0),18)/d_PctExtrapolation)*0.1*i_AmountAS2))</f>
        <v>#N/A</v>
      </c>
      <c r="G35" s="149" t="e">
        <f>IF(ISBLANK(INDEX(ay_OpExAOEM,MATCH(sys_KeyOperator&amp;"Protected Hands",key_AOEM,0),22)),10^(INDEX(ay_OpExAOEM,MATCH(sys_KeyOperator&amp;"Protected Hands",key_AOEM,0),19)+(LOG(0.1*i_AmountAS2)*INDEX(ay_OpExAOEM,MATCH(sys_KeyOperator&amp;"Protected Hands",key_AOEM,0),20))+  IF(AND(i_AppMeth="Upward spraying",LEFT(i_AppEquip,15)="Vehicle-mounted",d_AppPfCaBfR = "Yes"),0,IF(AND(i_Season = "late (dense foliage)",i_AppMeth="Upward spraying",OR(i_AppEquip="Manual-Hand held",i_AppEquip="Manual-Knapsack")),0,INDEX(ay_OpExAOEM,MATCH(sys_KeyOperator&amp;"Protected Hands",key_AOEM,0),21)))   ),MAX(INDEX(ay_OpExAOEM,MATCH(sys_KeyOperator&amp;"Protected Hands",key_AOEM,0),22),(INDEX(ay_OpExAOEM,MATCH(sys_KeyOperator&amp;"Protected Hands",key_AOEM,0),22)/d_PctExtrapolation)*0.1*i_AmountAS2))</f>
        <v>#N/A</v>
      </c>
      <c r="H35" s="144" t="e">
        <f>IF(ISBLANK(INDEX(ay_OpExAOEM,MATCH(sys_KeyOperator&amp;"Protected Hands",key_AOEM,0),18)),10^(INDEX(ay_OpExAOEM,MATCH(sys_KeyOperator&amp;"Protected Hands",key_AOEM,0),15)+(LOG(0.1*i_AmountAS3)*INDEX(ay_OpExAOEM,MATCH(sys_KeyOperator&amp;"Protected Hands",key_AOEM,0),16))+  IF(AND(i_AppMeth="Upward spraying",LEFT(i_AppEquip,15)="Vehicle-mounted",d_AppPfCaBfR = "Yes"),0,IF(AND(i_Season = "late (dense foliage)",i_AppMeth="Upward spraying",OR(i_AppEquip="Manual-Hand held",i_AppEquip="Manual-Knapsack")),0,INDEX(ay_OpExAOEM,MATCH(sys_KeyOperator&amp;"Protected Hands",key_AOEM,0),17)))   ),MAX(INDEX(ay_OpExAOEM,MATCH(sys_KeyOperator&amp;"Protected Hands",key_AOEM,0),18),(INDEX(ay_OpExAOEM,MATCH(sys_KeyOperator&amp;"Protected Hands",key_AOEM,0),18)/d_PctExtrapolation)*0.1*i_AmountAS3))</f>
        <v>#N/A</v>
      </c>
      <c r="I35" s="149" t="e">
        <f>IF(ISBLANK(INDEX(ay_OpExAOEM,MATCH(sys_KeyOperator&amp;"Protected Hands",key_AOEM,0),22)),10^(INDEX(ay_OpExAOEM,MATCH(sys_KeyOperator&amp;"Protected Hands",key_AOEM,0),19)+(LOG(0.1*i_AmountAS3)*INDEX(ay_OpExAOEM,MATCH(sys_KeyOperator&amp;"Protected Hands",key_AOEM,0),20))+  IF(AND(i_AppMeth="Upward spraying",LEFT(i_AppEquip,15)="Vehicle-mounted",d_AppPfCaBfR = "Yes"),0,IF(AND(i_Season = "late (dense foliage)",i_AppMeth="Upward spraying",OR(i_AppEquip="Manual-Hand held",i_AppEquip="Manual-Knapsack")),0,INDEX(ay_OpExAOEM,MATCH(sys_KeyOperator&amp;"Protected Hands",key_AOEM,0),21)))   ),MAX(INDEX(ay_OpExAOEM,MATCH(sys_KeyOperator&amp;"Protected Hands",key_AOEM,0),22),(INDEX(ay_OpExAOEM,MATCH(sys_KeyOperator&amp;"Protected Hands",key_AOEM,0),22)/d_PctExtrapolation)*0.1*i_AmountAS3))</f>
        <v>#N/A</v>
      </c>
      <c r="J35" s="148" t="e">
        <f>IF(ISBLANK(INDEX(ay_OpExAOEM,MATCH(sys_KeyOperator&amp;"Protected Hands",key_AOEM,0),18)),10^(INDEX(ay_OpExAOEM,MATCH(sys_KeyOperator&amp;"Protected Hands",key_AOEM,0),15)+(LOG(0.1*i_AmountAS4)*INDEX(ay_OpExAOEM,MATCH(sys_KeyOperator&amp;"Protected Hands",key_AOEM,0),16))+  IF(AND(i_AppMeth="Upward spraying",LEFT(i_AppEquip,15)="Vehicle-mounted",d_AppPfCaBfR = "Yes"),0,IF(AND(i_Season = "late (dense foliage)",i_AppMeth="Upward spraying",OR(i_AppEquip="Manual-Hand held",i_AppEquip="Manual-Knapsack")),0,INDEX(ay_OpExAOEM,MATCH(sys_KeyOperator&amp;"Protected Hands",key_AOEM,0),17)))   ),MAX(INDEX(ay_OpExAOEM,MATCH(sys_KeyOperator&amp;"Protected Hands",key_AOEM,0),18),(INDEX(ay_OpExAOEM,MATCH(sys_KeyOperator&amp;"Protected Hands",key_AOEM,0),18)/d_PctExtrapolation)*0.1*i_AmountAS4))</f>
        <v>#N/A</v>
      </c>
      <c r="K35" s="149" t="e">
        <f>IF(ISBLANK(INDEX(ay_OpExAOEM,MATCH(sys_KeyOperator&amp;"Protected Hands",key_AOEM,0),22)),10^(INDEX(ay_OpExAOEM,MATCH(sys_KeyOperator&amp;"Protected Hands",key_AOEM,0),19)+(LOG(0.1*i_AmountAS4)*INDEX(ay_OpExAOEM,MATCH(sys_KeyOperator&amp;"Protected Hands",key_AOEM,0),20))+  IF(AND(i_AppMeth="Upward spraying",LEFT(i_AppEquip,15)="Vehicle-mounted",d_AppPfCaBfR = "Yes"),0,IF(AND(i_Season = "late (dense foliage)",i_AppMeth="Upward spraying",OR(i_AppEquip="Manual-Hand held",i_AppEquip="Manual-Knapsack")),0,INDEX(ay_OpExAOEM,MATCH(sys_KeyOperator&amp;"Protected Hands",key_AOEM,0),21)))   ),MAX(INDEX(ay_OpExAOEM,MATCH(sys_KeyOperator&amp;"Protected Hands",key_AOEM,0),22),(INDEX(ay_OpExAOEM,MATCH(sys_KeyOperator&amp;"Protected Hands",key_AOEM,0),22)/d_PctExtrapolation)*0.1*i_AmountAS4))</f>
        <v>#N/A</v>
      </c>
      <c r="L35" s="145" t="s">
        <v>419</v>
      </c>
      <c r="M35" s="866"/>
      <c r="S35" s="40"/>
      <c r="W35" s="40"/>
    </row>
    <row r="36" spans="1:23" ht="44.25" customHeight="1" thickBot="1">
      <c r="A36" s="27"/>
      <c r="B36" s="871"/>
      <c r="C36" s="140" t="s">
        <v>422</v>
      </c>
      <c r="D36" s="148" t="e">
        <f>IF(ISBLANK(INDEX(ay_OpExAOEM,MATCH(sys_KeyOperator&amp;"Protected Body",key_AOEM,0),18)),10^(INDEX(ay_OpExAOEM,MATCH(sys_KeyOperator&amp;"Protected Body",key_AOEM,0),15)+(LOG(0.1*i_AmountAS1)*INDEX(ay_OpExAOEM,MATCH(sys_KeyOperator&amp;"Protected Body",key_AOEM,0),16))+  IF(AND(i_AppMeth="Upward spraying",LEFT(i_AppEquip,15)="Vehicle-mounted",d_AppPfCaBfR = "Yes"),0,IF(AND(i_Season = "late (dense foliage)",i_AppMeth="Upward spraying",OR(i_AppEquip="Manual-Hand held",i_AppEquip="Manual-Knapsack")),0,INDEX(ay_OpExAOEM,MATCH(sys_KeyOperator&amp;"Protected Body",key_AOEM,0),17)))   ),MAX(INDEX(ay_OpExAOEM,MATCH(sys_KeyOperator&amp;"Protected Body",key_AOEM,0),18),(INDEX(ay_OpExAOEM,MATCH(sys_KeyOperator&amp;"Protected Body",key_AOEM,0),18)/d_PctExtrapolation)*0.1*i_AmountAS1))</f>
        <v>#N/A</v>
      </c>
      <c r="E36" s="149" t="e">
        <f>IF(ISBLANK(INDEX(ay_OpExAOEM,MATCH(sys_KeyOperator&amp;"Protected Body",key_AOEM,0),22)),10^(INDEX(ay_OpExAOEM,MATCH(sys_KeyOperator&amp;"Protected Body",key_AOEM,0),19)++(LOG(0.1*i_AmountAS1)*INDEX(ay_OpExAOEM,MATCH(sys_KeyOperator&amp;"Protected Body",key_AOEM,0),20))+  IF(AND(i_AppMeth="Upward spraying",LEFT(i_AppEquip,15)="Vehicle-mounted",d_AppPfCaBfR = "Yes"),0,IF(AND(i_Season = "late (dense foliage)",i_AppMeth="Upward spraying",OR(i_AppEquip="Manual-Hand held",i_AppEquip="Manual-Knapsack")),0,INDEX(ay_OpExAOEM,MATCH(sys_KeyOperator&amp;"Protected Body",key_AOEM,0),21)))   ),MAX(INDEX(ay_OpExAOEM,MATCH(sys_KeyOperator&amp;"Protected Body",key_AOEM,0),22),(INDEX(ay_OpExAOEM,MATCH(sys_KeyOperator&amp;"Protected Body",key_AOEM,0),22)/d_PctExtrapolation)*0.1*i_AmountAS1))</f>
        <v>#N/A</v>
      </c>
      <c r="F36" s="148" t="e">
        <f>IF(ISBLANK(INDEX(ay_OpExAOEM,MATCH(sys_KeyOperator&amp;"Protected Body",key_AOEM,0),18)),10^(INDEX(ay_OpExAOEM,MATCH(sys_KeyOperator&amp;"Protected Body",key_AOEM,0),15)+(LOG(0.1*i_AmountAS2)*INDEX(ay_OpExAOEM,MATCH(sys_KeyOperator&amp;"Protected Body",key_AOEM,0),16))+  IF(AND(i_AppMeth="Upward spraying",LEFT(i_AppEquip,15)="Vehicle-mounted",d_AppPfCaBfR = "Yes"),0,IF(AND(i_Season = "late (dense foliage)",i_AppMeth="Upward spraying",OR(i_AppEquip="Manual-Hand held",i_AppEquip="Manual-Knapsack")),0,INDEX(ay_OpExAOEM,MATCH(sys_KeyOperator&amp;"Protected Body",key_AOEM,0),17)))   ),MAX(INDEX(ay_OpExAOEM,MATCH(sys_KeyOperator&amp;"Protected Body",key_AOEM,0),18),(INDEX(ay_OpExAOEM,MATCH(sys_KeyOperator&amp;"Protected Body",key_AOEM,0),18)/d_PctExtrapolation)*0.1*i_AmountAS2))</f>
        <v>#N/A</v>
      </c>
      <c r="G36" s="149" t="e">
        <f>IF(ISBLANK(INDEX(ay_OpExAOEM,MATCH(sys_KeyOperator&amp;"Protected Body",key_AOEM,0),22)),10^(INDEX(ay_OpExAOEM,MATCH(sys_KeyOperator&amp;"Protected Body",key_AOEM,0),19)++(LOG(0.1*i_AmountAS2)*INDEX(ay_OpExAOEM,MATCH(sys_KeyOperator&amp;"Protected Body",key_AOEM,0),20))+  IF(AND(i_AppMeth="Upward spraying",LEFT(i_AppEquip,15)="Vehicle-mounted",d_AppPfCaBfR = "Yes"),0,IF(AND(i_Season = "late (dense foliage)",i_AppMeth="Upward spraying",OR(i_AppEquip="Manual-Hand held",i_AppEquip="Manual-Knapsack")),0,INDEX(ay_OpExAOEM,MATCH(sys_KeyOperator&amp;"Protected Body",key_AOEM,0),21)))   ),MAX(INDEX(ay_OpExAOEM,MATCH(sys_KeyOperator&amp;"Protected Body",key_AOEM,0),22),(INDEX(ay_OpExAOEM,MATCH(sys_KeyOperator&amp;"Protected Body",key_AOEM,0),22)/d_PctExtrapolation)*0.1*i_AmountAS2))</f>
        <v>#N/A</v>
      </c>
      <c r="H36" s="144" t="e">
        <f>IF(ISBLANK(INDEX(ay_OpExAOEM,MATCH(sys_KeyOperator&amp;"Protected Body",key_AOEM,0),18)),10^(INDEX(ay_OpExAOEM,MATCH(sys_KeyOperator&amp;"Protected Body",key_AOEM,0),15)+(LOG(0.1*i_AmountAS3)*INDEX(ay_OpExAOEM,MATCH(sys_KeyOperator&amp;"Protected Body",key_AOEM,0),16))+  IF(AND(i_AppMeth="Upward spraying",LEFT(i_AppEquip,15)="Vehicle-mounted",d_AppPfCaBfR = "Yes"),0,IF(AND(i_Season = "late (dense foliage)",i_AppMeth="Upward spraying",OR(i_AppEquip="Manual-Hand held",i_AppEquip="Manual-Knapsack")),0,INDEX(ay_OpExAOEM,MATCH(sys_KeyOperator&amp;"Protected Body",key_AOEM,0),17)))   ),MAX(INDEX(ay_OpExAOEM,MATCH(sys_KeyOperator&amp;"Protected Body",key_AOEM,0),18),(INDEX(ay_OpExAOEM,MATCH(sys_KeyOperator&amp;"Protected Body",key_AOEM,0),18)/d_PctExtrapolation)*0.1*i_AmountAS3))</f>
        <v>#N/A</v>
      </c>
      <c r="I36" s="149" t="e">
        <f>IF(ISBLANK(INDEX(ay_OpExAOEM,MATCH(sys_KeyOperator&amp;"Protected Body",key_AOEM,0),22)),10^(INDEX(ay_OpExAOEM,MATCH(sys_KeyOperator&amp;"Protected Body",key_AOEM,0),19)++(LOG(0.1*i_AmountAS3)*INDEX(ay_OpExAOEM,MATCH(sys_KeyOperator&amp;"Protected Body",key_AOEM,0),20))+  IF(AND(i_AppMeth="Upward spraying",LEFT(i_AppEquip,15)="Vehicle-mounted",d_AppPfCaBfR = "Yes"),0,IF(AND(i_Season = "late (dense foliage)",i_AppMeth="Upward spraying",OR(i_AppEquip="Manual-Hand held",i_AppEquip="Manual-Knapsack")),0,INDEX(ay_OpExAOEM,MATCH(sys_KeyOperator&amp;"Protected Body",key_AOEM,0),21)))   ),MAX(INDEX(ay_OpExAOEM,MATCH(sys_KeyOperator&amp;"Protected Body",key_AOEM,0),22),(INDEX(ay_OpExAOEM,MATCH(sys_KeyOperator&amp;"Protected Body",key_AOEM,0),22)/d_PctExtrapolation)*0.1*i_AmountAS3))</f>
        <v>#N/A</v>
      </c>
      <c r="J36" s="148" t="e">
        <f>IF(ISBLANK(INDEX(ay_OpExAOEM,MATCH(sys_KeyOperator&amp;"Protected Body",key_AOEM,0),18)),10^(INDEX(ay_OpExAOEM,MATCH(sys_KeyOperator&amp;"Protected Body",key_AOEM,0),15)+(LOG(0.1*i_AmountAS4)*INDEX(ay_OpExAOEM,MATCH(sys_KeyOperator&amp;"Protected Body",key_AOEM,0),16))+  IF(AND(i_AppMeth="Upward spraying",LEFT(i_AppEquip,15)="Vehicle-mounted",d_AppPfCaBfR = "Yes"),0,IF(AND(i_Season = "late (dense foliage)",i_AppMeth="Upward spraying",OR(i_AppEquip="Manual-Hand held",i_AppEquip="Manual-Knapsack")),0,INDEX(ay_OpExAOEM,MATCH(sys_KeyOperator&amp;"Protected Body",key_AOEM,0),17)))   ),MAX(INDEX(ay_OpExAOEM,MATCH(sys_KeyOperator&amp;"Protected Body",key_AOEM,0),18),(INDEX(ay_OpExAOEM,MATCH(sys_KeyOperator&amp;"Protected Body",key_AOEM,0),18)/d_PctExtrapolation)*0.1*i_AmountAS4))</f>
        <v>#N/A</v>
      </c>
      <c r="K36" s="149" t="e">
        <f>IF(ISBLANK(INDEX(ay_OpExAOEM,MATCH(sys_KeyOperator&amp;"Protected Body",key_AOEM,0),22)),10^(INDEX(ay_OpExAOEM,MATCH(sys_KeyOperator&amp;"Protected Body",key_AOEM,0),19)++(LOG(0.1*i_AmountAS4)*INDEX(ay_OpExAOEM,MATCH(sys_KeyOperator&amp;"Protected Body",key_AOEM,0),20))+  IF(AND(i_AppMeth="Upward spraying",LEFT(i_AppEquip,15)="Vehicle-mounted",d_AppPfCaBfR = "Yes"),0,IF(AND(i_Season = "late (dense foliage)",i_AppMeth="Upward spraying",OR(i_AppEquip="Manual-Hand held",i_AppEquip="Manual-Knapsack")),0,INDEX(ay_OpExAOEM,MATCH(sys_KeyOperator&amp;"Protected Body",key_AOEM,0),21)))   ),MAX(INDEX(ay_OpExAOEM,MATCH(sys_KeyOperator&amp;"Protected Body",key_AOEM,0),22),(INDEX(ay_OpExAOEM,MATCH(sys_KeyOperator&amp;"Protected Body",key_AOEM,0),22)/d_PctExtrapolation)*0.1*i_AmountAS4))</f>
        <v>#N/A</v>
      </c>
      <c r="L36" s="145" t="s">
        <v>419</v>
      </c>
      <c r="M36" s="866"/>
      <c r="S36" s="40"/>
      <c r="W36" s="40"/>
    </row>
    <row r="37" spans="1:23" ht="20.25" customHeight="1" thickBot="1">
      <c r="A37" s="27"/>
      <c r="B37" s="871"/>
      <c r="C37" s="142" t="s">
        <v>109</v>
      </c>
      <c r="D37" s="159" t="e">
        <f>IF(ISBLANK(INDEX(ay_OpExAOEM,MATCH(sys_KeyOperator&amp;"Inhalation",key_AOEM,0),18)),10^(INDEX(ay_OpExAOEM,MATCH(sys_KeyOperator&amp;"Inhalation",key_AOEM,0),15)+(LOG(0.1*i_AmountAS1)*INDEX(ay_OpExAOEM,MATCH(sys_KeyOperator&amp;"Inhalation",key_AOEM,0),16))+  IF(AND(i_AppMeth="Upward spraying",LEFT(i_AppEquip,15)="Vehicle-mounted",d_AppPfCaBfR = "Yes"),0,IF(AND(i_Season = "late (dense foliage)",i_AppMeth="Upward spraying",OR(i_AppEquip="Manual-Hand held",i_AppEquip="Manual-Knapsack")),0,INDEX(ay_OpExAOEM,MATCH(sys_KeyOperator&amp;"Inhalation",key_AOEM,0),17)))  ),MAX(INDEX(ay_OpExAOEM,MATCH(sys_KeyOperator&amp;"Inhalation",key_AOEM,0),18),(INDEX(ay_OpExAOEM,MATCH(sys_KeyOperator&amp;"Inhalation",key_AOEM,0),18)/d_PctExtrapolation)*0.1*i_AmountAS1))</f>
        <v>#N/A</v>
      </c>
      <c r="E37" s="160" t="e">
        <f>IF(ISBLANK(INDEX(ay_OpExAOEM,MATCH(sys_KeyOperator&amp;"Inhalation",key_AOEM,0),22)),10^(INDEX(ay_OpExAOEM,MATCH(sys_KeyOperator&amp;"Inhalation",key_AOEM,0),19)+(LOG(0.1*i_AmountAS1)*INDEX(ay_OpExAOEM,MATCH(sys_KeyOperator&amp;"Inhalation",key_AOEM,0),20))+  IF(AND(i_AppMeth="Upward spraying",LEFT(i_AppEquip,15)="Vehicle-mounted",d_AppPfCaBfR = "Yes"),0,IF(AND(i_Season = "late (dense foliage)",i_AppMeth="Upward spraying",OR(i_AppEquip="Manual-Hand held",i_AppEquip="Manual-Knapsack")),0,INDEX(ay_OpExAOEM,MATCH(sys_KeyOperator&amp;"Inhalation",key_AOEM,0),21)))  ),MAX(INDEX(ay_OpExAOEM,MATCH(sys_KeyOperator&amp;"Inhalation",key_AOEM,0),22),(INDEX(ay_OpExAOEM,MATCH(sys_KeyOperator&amp;"Inhalation",key_AOEM,0),22)/d_PctExtrapolation)*0.1*i_AmountAS1))</f>
        <v>#N/A</v>
      </c>
      <c r="F37" s="159" t="e">
        <f>IF(ISBLANK(INDEX(ay_OpExAOEM,MATCH(sys_KeyOperator&amp;"Inhalation",key_AOEM,0),18)),10^(INDEX(ay_OpExAOEM,MATCH(sys_KeyOperator&amp;"Inhalation",key_AOEM,0),15)+(LOG(0.1*i_AmountAS2)*INDEX(ay_OpExAOEM,MATCH(sys_KeyOperator&amp;"Inhalation",key_AOEM,0),16))+  IF(AND(i_AppMeth="Upward spraying",LEFT(i_AppEquip,15)="Vehicle-mounted",d_AppPfCaBfR = "Yes"),0,IF(AND(i_Season = "late (dense foliage)",i_AppMeth="Upward spraying",OR(i_AppEquip="Manual-Hand held",i_AppEquip="Manual-Knapsack")),0,INDEX(ay_OpExAOEM,MATCH(sys_KeyOperator&amp;"Inhalation",key_AOEM,0),17)))  ),MAX(INDEX(ay_OpExAOEM,MATCH(sys_KeyOperator&amp;"Inhalation",key_AOEM,0),18),(INDEX(ay_OpExAOEM,MATCH(sys_KeyOperator&amp;"Inhalation",key_AOEM,0),18)/d_PctExtrapolation)*0.1*i_AmountAS2))</f>
        <v>#N/A</v>
      </c>
      <c r="G37" s="160" t="e">
        <f>IF(ISBLANK(INDEX(ay_OpExAOEM,MATCH(sys_KeyOperator&amp;"Inhalation",key_AOEM,0),22)),10^(INDEX(ay_OpExAOEM,MATCH(sys_KeyOperator&amp;"Inhalation",key_AOEM,0),19)+(LOG(0.1*i_AmountAS2)*INDEX(ay_OpExAOEM,MATCH(sys_KeyOperator&amp;"Inhalation",key_AOEM,0),20))+  IF(AND(i_AppMeth="Upward spraying",LEFT(i_AppEquip,15)="Vehicle-mounted",d_AppPfCaBfR = "Yes"),0,IF(AND(i_Season = "late (dense foliage)",i_AppMeth="Upward spraying",OR(i_AppEquip="Manual-Hand held",i_AppEquip="Manual-Knapsack")),0,INDEX(ay_OpExAOEM,MATCH(sys_KeyOperator&amp;"Inhalation",key_AOEM,0),21)))  ),MAX(INDEX(ay_OpExAOEM,MATCH(sys_KeyOperator&amp;"Inhalation",key_AOEM,0),22),(INDEX(ay_OpExAOEM,MATCH(sys_KeyOperator&amp;"Inhalation",key_AOEM,0),22)/d_PctExtrapolation)*0.1*i_AmountAS2))</f>
        <v>#N/A</v>
      </c>
      <c r="H37" s="161" t="e">
        <f>IF(ISBLANK(INDEX(ay_OpExAOEM,MATCH(sys_KeyOperator&amp;"Inhalation",key_AOEM,0),18)),10^(INDEX(ay_OpExAOEM,MATCH(sys_KeyOperator&amp;"Inhalation",key_AOEM,0),15)+(LOG(0.1*i_AmountAS3)*INDEX(ay_OpExAOEM,MATCH(sys_KeyOperator&amp;"Inhalation",key_AOEM,0),16))+  IF(AND(i_AppMeth="Upward spraying",LEFT(i_AppEquip,15)="Vehicle-mounted",d_AppPfCaBfR = "Yes"),0,IF(AND(i_Season = "late (dense foliage)",i_AppMeth="Upward spraying",OR(i_AppEquip="Manual-Hand held",i_AppEquip="Manual-Knapsack")),0,INDEX(ay_OpExAOEM,MATCH(sys_KeyOperator&amp;"Inhalation",key_AOEM,0),17)))  ),MAX(INDEX(ay_OpExAOEM,MATCH(sys_KeyOperator&amp;"Inhalation",key_AOEM,0),18),(INDEX(ay_OpExAOEM,MATCH(sys_KeyOperator&amp;"Inhalation",key_AOEM,0),18)/d_PctExtrapolation)*0.1*i_AmountAS3))</f>
        <v>#N/A</v>
      </c>
      <c r="I37" s="160" t="e">
        <f>IF(ISBLANK(INDEX(ay_OpExAOEM,MATCH(sys_KeyOperator&amp;"Inhalation",key_AOEM,0),22)),10^(INDEX(ay_OpExAOEM,MATCH(sys_KeyOperator&amp;"Inhalation",key_AOEM,0),19)+(LOG(0.1*i_AmountAS3)*INDEX(ay_OpExAOEM,MATCH(sys_KeyOperator&amp;"Inhalation",key_AOEM,0),20))+  IF(AND(i_AppMeth="Upward spraying",LEFT(i_AppEquip,15)="Vehicle-mounted",d_AppPfCaBfR = "Yes"),0,IF(AND(i_Season = "late (dense foliage)",i_AppMeth="Upward spraying",OR(i_AppEquip="Manual-Hand held",i_AppEquip="Manual-Knapsack")),0,INDEX(ay_OpExAOEM,MATCH(sys_KeyOperator&amp;"Inhalation",key_AOEM,0),21)))  ),MAX(INDEX(ay_OpExAOEM,MATCH(sys_KeyOperator&amp;"Inhalation",key_AOEM,0),22),(INDEX(ay_OpExAOEM,MATCH(sys_KeyOperator&amp;"Inhalation",key_AOEM,0),22)/d_PctExtrapolation)*0.1*i_AmountAS3))</f>
        <v>#N/A</v>
      </c>
      <c r="J37" s="159" t="e">
        <f>IF(ISBLANK(INDEX(ay_OpExAOEM,MATCH(sys_KeyOperator&amp;"Inhalation",key_AOEM,0),18)),10^(INDEX(ay_OpExAOEM,MATCH(sys_KeyOperator&amp;"Inhalation",key_AOEM,0),15)+(LOG(0.1*i_AmountAS4)*INDEX(ay_OpExAOEM,MATCH(sys_KeyOperator&amp;"Inhalation",key_AOEM,0),16))+  IF(AND(i_AppMeth="Upward spraying",LEFT(i_AppEquip,15)="Vehicle-mounted",d_AppPfCaBfR = "Yes"),0,IF(AND(i_Season = "late (dense foliage)",i_AppMeth="Upward spraying",OR(i_AppEquip="Manual-Hand held",i_AppEquip="Manual-Knapsack")),0,INDEX(ay_OpExAOEM,MATCH(sys_KeyOperator&amp;"Inhalation",key_AOEM,0),17)))  ),MAX(INDEX(ay_OpExAOEM,MATCH(sys_KeyOperator&amp;"Inhalation",key_AOEM,0),18),(INDEX(ay_OpExAOEM,MATCH(sys_KeyOperator&amp;"Inhalation",key_AOEM,0),18)/d_PctExtrapolation)*0.1*i_AmountAS4))</f>
        <v>#N/A</v>
      </c>
      <c r="K37" s="160" t="e">
        <f>IF(ISBLANK(INDEX(ay_OpExAOEM,MATCH(sys_KeyOperator&amp;"Inhalation",key_AOEM,0),22)),10^(INDEX(ay_OpExAOEM,MATCH(sys_KeyOperator&amp;"Inhalation",key_AOEM,0),19)+(LOG(0.1*i_AmountAS4)*INDEX(ay_OpExAOEM,MATCH(sys_KeyOperator&amp;"Inhalation",key_AOEM,0),20))+  IF(AND(i_AppMeth="Upward spraying",LEFT(i_AppEquip,15)="Vehicle-mounted",d_AppPfCaBfR = "Yes"),0,IF(AND(i_Season = "late (dense foliage)",i_AppMeth="Upward spraying",OR(i_AppEquip="Manual-Hand held",i_AppEquip="Manual-Knapsack")),0,INDEX(ay_OpExAOEM,MATCH(sys_KeyOperator&amp;"Inhalation",key_AOEM,0),21)))  ),MAX(INDEX(ay_OpExAOEM,MATCH(sys_KeyOperator&amp;"Inhalation",key_AOEM,0),22),(INDEX(ay_OpExAOEM,MATCH(sys_KeyOperator&amp;"Inhalation",key_AOEM,0),22)/d_PctExtrapolation)*0.1*i_AmountAS4))</f>
        <v>#N/A</v>
      </c>
      <c r="L37" s="162" t="s">
        <v>419</v>
      </c>
      <c r="M37" s="866"/>
      <c r="S37" s="40"/>
      <c r="W37" s="40"/>
    </row>
    <row r="38" spans="1:23" ht="75.75" thickBot="1">
      <c r="A38" s="27"/>
      <c r="B38" s="871"/>
      <c r="C38" s="336" t="s">
        <v>424</v>
      </c>
      <c r="D38" s="867"/>
      <c r="E38" s="868"/>
      <c r="F38" s="279"/>
      <c r="G38" s="280"/>
      <c r="H38" s="280"/>
      <c r="I38" s="280"/>
      <c r="J38" s="280"/>
      <c r="K38" s="316"/>
      <c r="L38" s="165" t="s">
        <v>426</v>
      </c>
      <c r="M38" s="645" t="s">
        <v>427</v>
      </c>
      <c r="S38" s="41"/>
      <c r="W38" s="41"/>
    </row>
    <row r="39" spans="1:23" ht="15.75" thickBot="1">
      <c r="A39" s="27"/>
      <c r="B39" s="871"/>
      <c r="C39" s="141" t="s">
        <v>428</v>
      </c>
      <c r="D39" s="853" t="str">
        <f>'Operator Spray'!D39</f>
        <v>No</v>
      </c>
      <c r="E39" s="854"/>
      <c r="F39" s="281"/>
      <c r="G39" s="31"/>
      <c r="H39" s="31"/>
      <c r="I39" s="31"/>
      <c r="J39" s="31"/>
      <c r="K39" s="163"/>
      <c r="L39" s="869" t="str">
        <f>IF(D39="Yes","Incl. in AOEM model","")</f>
        <v/>
      </c>
      <c r="M39" s="870"/>
      <c r="S39" s="41"/>
      <c r="W39" s="41"/>
    </row>
    <row r="40" spans="1:23" ht="29.25" customHeight="1" thickBot="1">
      <c r="A40" s="27"/>
      <c r="B40" s="871"/>
      <c r="C40" s="138" t="s">
        <v>429</v>
      </c>
      <c r="D40" s="853" t="str">
        <f>'Operator Spray'!D40</f>
        <v>Work wear - arms, body and legs covered</v>
      </c>
      <c r="E40" s="854"/>
      <c r="F40" s="281"/>
      <c r="G40" s="31"/>
      <c r="H40" s="31"/>
      <c r="I40" s="31"/>
      <c r="J40" s="31"/>
      <c r="K40" s="163"/>
      <c r="L40" s="855" t="s">
        <v>430</v>
      </c>
      <c r="M40" s="856"/>
      <c r="S40" s="41"/>
      <c r="W40" s="41"/>
    </row>
    <row r="41" spans="1:23" ht="60.75" thickBot="1">
      <c r="A41" s="27"/>
      <c r="B41" s="871"/>
      <c r="C41" s="284" t="s">
        <v>431</v>
      </c>
      <c r="D41" s="853" t="str">
        <f>'Operator Spray'!D41</f>
        <v>None</v>
      </c>
      <c r="E41" s="854"/>
      <c r="F41" s="281"/>
      <c r="G41" s="31"/>
      <c r="H41" s="31"/>
      <c r="I41" s="31"/>
      <c r="J41" s="31"/>
      <c r="K41" s="163"/>
      <c r="L41" s="166">
        <f>INDEX(ay_MixPPEHead,MATCH(D41,key_MixPPEHead,0),2)</f>
        <v>1</v>
      </c>
      <c r="M41" s="167">
        <f>IF(OR(D41="Hood and visor",D41="Hood"),1,INDEX(ay_MixRPE,MATCH(D41,key_MixRPE,0),2))</f>
        <v>1</v>
      </c>
      <c r="S41" s="41"/>
      <c r="W41" s="41"/>
    </row>
    <row r="42" spans="1:23" ht="30" customHeight="1" thickBot="1">
      <c r="A42" s="27"/>
      <c r="B42" s="872"/>
      <c r="C42" s="143" t="s">
        <v>434</v>
      </c>
      <c r="D42" s="853" t="str">
        <f>'Operator Spray'!D42</f>
        <v>Not relevant</v>
      </c>
      <c r="E42" s="854"/>
      <c r="F42" s="282"/>
      <c r="G42" s="283"/>
      <c r="H42" s="283"/>
      <c r="I42" s="283"/>
      <c r="J42" s="283"/>
      <c r="K42" s="164"/>
      <c r="L42" s="857" t="s">
        <v>435</v>
      </c>
      <c r="M42" s="858"/>
      <c r="S42" s="41"/>
      <c r="W42" s="41"/>
    </row>
    <row r="43" spans="1:23" ht="15.75" thickBot="1">
      <c r="B43" s="43"/>
      <c r="E43" s="21"/>
      <c r="F43" s="21"/>
      <c r="G43" s="21"/>
    </row>
    <row r="44" spans="1:23" ht="19.5" thickBot="1">
      <c r="B44" s="44" t="s">
        <v>436</v>
      </c>
      <c r="D44" s="859">
        <f>i_SubstName1</f>
        <v>0</v>
      </c>
      <c r="E44" s="860"/>
      <c r="F44" s="859">
        <f>i_SubstName2</f>
        <v>0</v>
      </c>
      <c r="G44" s="860"/>
      <c r="H44" s="859">
        <f>i_SubstName3</f>
        <v>0</v>
      </c>
      <c r="I44" s="860"/>
      <c r="J44" s="859">
        <f>i_SubstName4</f>
        <v>0</v>
      </c>
      <c r="K44" s="860"/>
      <c r="L44" s="859" t="s">
        <v>370</v>
      </c>
      <c r="M44" s="860"/>
    </row>
    <row r="45" spans="1:23" ht="15" customHeight="1" thickBot="1">
      <c r="B45" s="196"/>
      <c r="C45" s="197"/>
      <c r="D45" s="332" t="s">
        <v>437</v>
      </c>
      <c r="E45" s="333" t="s">
        <v>438</v>
      </c>
      <c r="F45" s="332" t="s">
        <v>437</v>
      </c>
      <c r="G45" s="333" t="s">
        <v>438</v>
      </c>
      <c r="H45" s="332" t="s">
        <v>437</v>
      </c>
      <c r="I45" s="333" t="s">
        <v>438</v>
      </c>
      <c r="J45" s="332" t="s">
        <v>437</v>
      </c>
      <c r="K45" s="333" t="s">
        <v>438</v>
      </c>
      <c r="L45" s="332" t="s">
        <v>437</v>
      </c>
      <c r="M45" s="333" t="s">
        <v>438</v>
      </c>
    </row>
    <row r="46" spans="1:23" ht="33.75" customHeight="1" thickBot="1">
      <c r="B46" s="846" t="s">
        <v>439</v>
      </c>
      <c r="C46" s="847"/>
      <c r="D46" s="847"/>
      <c r="E46" s="847"/>
      <c r="F46" s="847"/>
      <c r="G46" s="847"/>
      <c r="H46" s="847"/>
      <c r="I46" s="847"/>
      <c r="J46" s="847"/>
      <c r="K46" s="847"/>
      <c r="L46" s="847"/>
      <c r="M46" s="848"/>
    </row>
    <row r="47" spans="1:23" ht="33" customHeight="1">
      <c r="B47" s="849" t="s">
        <v>440</v>
      </c>
      <c r="C47" s="850"/>
      <c r="D47" s="667" t="e">
        <f>(D63+D79)</f>
        <v>#N/A</v>
      </c>
      <c r="E47" s="309" t="e">
        <f>(D70+D85)</f>
        <v>#N/A</v>
      </c>
      <c r="F47" s="667" t="e">
        <f>(F63+F79)</f>
        <v>#N/A</v>
      </c>
      <c r="G47" s="309" t="e">
        <f>(F70+F85)</f>
        <v>#N/A</v>
      </c>
      <c r="H47" s="667" t="e">
        <f>(H63+H79)</f>
        <v>#N/A</v>
      </c>
      <c r="I47" s="309" t="e">
        <f>(H70+H85)</f>
        <v>#N/A</v>
      </c>
      <c r="J47" s="667" t="e">
        <f>(J63+J79)</f>
        <v>#N/A</v>
      </c>
      <c r="K47" s="309" t="e">
        <f>(J70+J85)</f>
        <v>#N/A</v>
      </c>
    </row>
    <row r="48" spans="1:23" ht="43.5" customHeight="1">
      <c r="B48" s="842" t="s">
        <v>441</v>
      </c>
      <c r="C48" s="843"/>
      <c r="D48" s="665" t="e">
        <f t="shared" ref="D48:K48" si="0">D47/d_BwAdult</f>
        <v>#N/A</v>
      </c>
      <c r="E48" s="256" t="e">
        <f t="shared" si="0"/>
        <v>#N/A</v>
      </c>
      <c r="F48" s="665" t="e">
        <f t="shared" si="0"/>
        <v>#N/A</v>
      </c>
      <c r="G48" s="256" t="e">
        <f t="shared" si="0"/>
        <v>#N/A</v>
      </c>
      <c r="H48" s="665" t="e">
        <f t="shared" si="0"/>
        <v>#N/A</v>
      </c>
      <c r="I48" s="256" t="e">
        <f t="shared" si="0"/>
        <v>#N/A</v>
      </c>
      <c r="J48" s="665" t="e">
        <f t="shared" si="0"/>
        <v>#N/A</v>
      </c>
      <c r="K48" s="256" t="e">
        <f t="shared" si="0"/>
        <v>#N/A</v>
      </c>
    </row>
    <row r="49" spans="2:13" ht="30.75" customHeight="1" thickBot="1">
      <c r="B49" s="851" t="s">
        <v>442</v>
      </c>
      <c r="C49" s="852"/>
      <c r="D49" s="186">
        <f>IFERROR(D48/i_AOEL1,0)</f>
        <v>0</v>
      </c>
      <c r="E49" s="80">
        <f>IFERROR(E48/i_AOEL1,0)</f>
        <v>0</v>
      </c>
      <c r="F49" s="186">
        <f>IFERROR(F48/i_AOEL2,0)</f>
        <v>0</v>
      </c>
      <c r="G49" s="80">
        <f>IFERROR(G48/i_AOEL2,0)</f>
        <v>0</v>
      </c>
      <c r="H49" s="186">
        <f>IFERROR(H48/i_AOEL3,0)</f>
        <v>0</v>
      </c>
      <c r="I49" s="80">
        <f>IFERROR(I48/i_AOEL3,0)</f>
        <v>0</v>
      </c>
      <c r="J49" s="186">
        <f>IFERROR(J48/i_AOEL4,0)</f>
        <v>0</v>
      </c>
      <c r="K49" s="80">
        <f>IFERROR(K48/i_AOEL4,0)</f>
        <v>0</v>
      </c>
      <c r="L49" s="186" t="str">
        <f>"Hazard index = "&amp;FIXED(D49+F49+H49+J49,3)</f>
        <v>Hazard index = 0.000</v>
      </c>
      <c r="M49" s="80" t="str">
        <f>"Hazard index = "&amp;FIXED(E49+G49+I49+K49,3)</f>
        <v>Hazard index = 0.000</v>
      </c>
    </row>
    <row r="50" spans="2:13" ht="34.5" customHeight="1" thickBot="1">
      <c r="B50" s="846" t="s">
        <v>443</v>
      </c>
      <c r="C50" s="847"/>
      <c r="D50" s="847"/>
      <c r="E50" s="847"/>
      <c r="F50" s="847"/>
      <c r="G50" s="847"/>
      <c r="H50" s="847"/>
      <c r="I50" s="847"/>
      <c r="J50" s="847"/>
      <c r="K50" s="847"/>
      <c r="L50" s="847"/>
      <c r="M50" s="848"/>
    </row>
    <row r="51" spans="2:13" ht="45" customHeight="1">
      <c r="B51" s="849" t="s">
        <v>440</v>
      </c>
      <c r="C51" s="850"/>
      <c r="D51" s="667" t="e">
        <f>(D95+D111)</f>
        <v>#N/A</v>
      </c>
      <c r="E51" s="309" t="e">
        <f>(D102+D117)</f>
        <v>#N/A</v>
      </c>
      <c r="F51" s="667" t="e">
        <f>(F95+F111)</f>
        <v>#N/A</v>
      </c>
      <c r="G51" s="309" t="e">
        <f>(F102+F117)</f>
        <v>#N/A</v>
      </c>
      <c r="H51" s="667" t="e">
        <f>(H95+H111)</f>
        <v>#N/A</v>
      </c>
      <c r="I51" s="309" t="e">
        <f>(H102+H117)</f>
        <v>#N/A</v>
      </c>
      <c r="J51" s="667" t="e">
        <f>(J95+J111)</f>
        <v>#N/A</v>
      </c>
      <c r="K51" s="309" t="e">
        <f>(J102+J117)</f>
        <v>#N/A</v>
      </c>
    </row>
    <row r="52" spans="2:13" ht="44.25" customHeight="1">
      <c r="B52" s="842" t="s">
        <v>441</v>
      </c>
      <c r="C52" s="843"/>
      <c r="D52" s="665" t="e">
        <f t="shared" ref="D52:K52" si="1">D51/d_BwAdult</f>
        <v>#N/A</v>
      </c>
      <c r="E52" s="256" t="e">
        <f>E51/d_BwAdult</f>
        <v>#N/A</v>
      </c>
      <c r="F52" s="665" t="e">
        <f t="shared" si="1"/>
        <v>#N/A</v>
      </c>
      <c r="G52" s="256" t="e">
        <f t="shared" si="1"/>
        <v>#N/A</v>
      </c>
      <c r="H52" s="665" t="e">
        <f t="shared" si="1"/>
        <v>#N/A</v>
      </c>
      <c r="I52" s="256" t="e">
        <f t="shared" si="1"/>
        <v>#N/A</v>
      </c>
      <c r="J52" s="665" t="e">
        <f t="shared" si="1"/>
        <v>#N/A</v>
      </c>
      <c r="K52" s="256" t="e">
        <f t="shared" si="1"/>
        <v>#N/A</v>
      </c>
    </row>
    <row r="53" spans="2:13" ht="36.75" customHeight="1" thickBot="1">
      <c r="B53" s="48" t="s">
        <v>444</v>
      </c>
      <c r="C53" s="49"/>
      <c r="D53" s="186">
        <f>IFERROR(D52/i_AAOEL1,0)</f>
        <v>0</v>
      </c>
      <c r="E53" s="80">
        <f>IFERROR(E52/i_AAOEL1,0)</f>
        <v>0</v>
      </c>
      <c r="F53" s="186">
        <f>IFERROR(F52/i_AAOEL2,0)</f>
        <v>0</v>
      </c>
      <c r="G53" s="80">
        <f>IFERROR(G52/i_AAOEL2,0)</f>
        <v>0</v>
      </c>
      <c r="H53" s="186">
        <f>IFERROR(H52/i_AAOEL3,0)</f>
        <v>0</v>
      </c>
      <c r="I53" s="80">
        <f>IFERROR(I52/i_AAOEL3,0)</f>
        <v>0</v>
      </c>
      <c r="J53" s="186">
        <f>IFERROR(J52/i_AAOEL4,0)</f>
        <v>0</v>
      </c>
      <c r="K53" s="80">
        <f>IFERROR(K52/i_AAOEL4,0)</f>
        <v>0</v>
      </c>
      <c r="L53" s="186" t="str">
        <f>"Hazard index = "&amp;FIXED(D53+F53+H53+J53,3)</f>
        <v>Hazard index = 0.000</v>
      </c>
      <c r="M53" s="80" t="str">
        <f>"Hazard index = "&amp;FIXED(E53+G53+I53+K53,3)</f>
        <v>Hazard index = 0.000</v>
      </c>
    </row>
    <row r="54" spans="2:13">
      <c r="D54" s="644"/>
      <c r="E54" s="844"/>
      <c r="F54" s="844"/>
      <c r="G54" s="644"/>
      <c r="H54" s="50"/>
    </row>
    <row r="55" spans="2:13" ht="45.75" customHeight="1" thickBot="1">
      <c r="B55" s="51" t="s">
        <v>445</v>
      </c>
      <c r="D55" s="644"/>
      <c r="E55" s="845"/>
      <c r="F55" s="845"/>
      <c r="G55" s="644"/>
    </row>
    <row r="56" spans="2:13" ht="18.75">
      <c r="B56" s="51" t="s">
        <v>446</v>
      </c>
      <c r="D56" s="837">
        <f>i_SubstName1</f>
        <v>0</v>
      </c>
      <c r="E56" s="838"/>
      <c r="F56" s="837">
        <f>i_SubstName2</f>
        <v>0</v>
      </c>
      <c r="G56" s="838"/>
      <c r="H56" s="837">
        <f>i_SubstName3</f>
        <v>0</v>
      </c>
      <c r="I56" s="838"/>
      <c r="J56" s="837">
        <f>i_SubstName4</f>
        <v>0</v>
      </c>
      <c r="K56" s="838"/>
    </row>
    <row r="57" spans="2:13" ht="90">
      <c r="B57" s="839"/>
      <c r="C57" s="840"/>
      <c r="D57" s="656" t="s">
        <v>447</v>
      </c>
      <c r="E57" s="653" t="s">
        <v>448</v>
      </c>
      <c r="F57" s="656" t="s">
        <v>447</v>
      </c>
      <c r="G57" s="653" t="s">
        <v>448</v>
      </c>
      <c r="H57" s="153" t="s">
        <v>447</v>
      </c>
      <c r="I57" s="154" t="s">
        <v>448</v>
      </c>
      <c r="J57" s="153" t="s">
        <v>447</v>
      </c>
      <c r="K57" s="154" t="s">
        <v>448</v>
      </c>
    </row>
    <row r="58" spans="2:13" ht="15" customHeight="1">
      <c r="B58" s="835" t="s">
        <v>437</v>
      </c>
      <c r="C58" s="836"/>
      <c r="D58" s="656"/>
      <c r="E58" s="653"/>
      <c r="F58" s="656"/>
      <c r="G58" s="653"/>
      <c r="H58" s="61"/>
      <c r="I58" s="154"/>
      <c r="J58" s="61"/>
      <c r="K58" s="154"/>
    </row>
    <row r="59" spans="2:13" ht="15" customHeight="1">
      <c r="B59" s="831" t="s">
        <v>418</v>
      </c>
      <c r="C59" s="832"/>
      <c r="D59" s="668" t="e">
        <f>D17*i_AbsorpProduct1/1000</f>
        <v>#N/A</v>
      </c>
      <c r="E59" s="256" t="e">
        <f>D59/d_BwAdult</f>
        <v>#N/A</v>
      </c>
      <c r="F59" s="668" t="e">
        <f>F17*i_AbsorpProduct2/1000</f>
        <v>#N/A</v>
      </c>
      <c r="G59" s="256" t="e">
        <f>F59/d_BwAdult</f>
        <v>#N/A</v>
      </c>
      <c r="H59" s="668" t="e">
        <f>H17*i_AbsorpProduct3/1000</f>
        <v>#N/A</v>
      </c>
      <c r="I59" s="256" t="e">
        <f>H59/d_BwAdult</f>
        <v>#N/A</v>
      </c>
      <c r="J59" s="668" t="e">
        <f>J17*i_AbsorpProduct4/1000</f>
        <v>#N/A</v>
      </c>
      <c r="K59" s="256" t="e">
        <f>J59/d_BwAdult</f>
        <v>#N/A</v>
      </c>
    </row>
    <row r="60" spans="2:13">
      <c r="B60" s="831" t="s">
        <v>420</v>
      </c>
      <c r="C60" s="832"/>
      <c r="D60" s="668" t="e">
        <f>D18*i_AbsorpProduct1/1000</f>
        <v>#N/A</v>
      </c>
      <c r="E60" s="256" t="e">
        <f>D60/d_BwAdult</f>
        <v>#N/A</v>
      </c>
      <c r="F60" s="668" t="e">
        <f>F18*i_AbsorpProduct2/1000</f>
        <v>#N/A</v>
      </c>
      <c r="G60" s="256" t="e">
        <f>F60/d_BwAdult</f>
        <v>#N/A</v>
      </c>
      <c r="H60" s="668" t="e">
        <f>H18*i_AbsorpProduct3/1000</f>
        <v>#N/A</v>
      </c>
      <c r="I60" s="256" t="e">
        <f>H60/d_BwAdult</f>
        <v>#N/A</v>
      </c>
      <c r="J60" s="668" t="e">
        <f>J18*i_AbsorpProduct4/1000</f>
        <v>#N/A</v>
      </c>
      <c r="K60" s="256" t="e">
        <f>J60/d_BwAdult</f>
        <v>#N/A</v>
      </c>
    </row>
    <row r="61" spans="2:13">
      <c r="B61" s="831" t="s">
        <v>104</v>
      </c>
      <c r="C61" s="832"/>
      <c r="D61" s="668" t="e">
        <f>D19*i_AbsorpProduct1/1000</f>
        <v>#N/A</v>
      </c>
      <c r="E61" s="256" t="e">
        <f>D61/d_BwAdult</f>
        <v>#N/A</v>
      </c>
      <c r="F61" s="668" t="e">
        <f>F19*i_AbsorpProduct2/1000</f>
        <v>#N/A</v>
      </c>
      <c r="G61" s="256" t="e">
        <f>F61/d_BwAdult</f>
        <v>#N/A</v>
      </c>
      <c r="H61" s="668" t="e">
        <f>H19*i_AbsorpProduct3/1000</f>
        <v>#N/A</v>
      </c>
      <c r="I61" s="256" t="e">
        <f>H61/d_BwAdult</f>
        <v>#N/A</v>
      </c>
      <c r="J61" s="668" t="e">
        <f>J19*i_AbsorpProduct4/1000</f>
        <v>#N/A</v>
      </c>
      <c r="K61" s="256" t="e">
        <f>J61/d_BwAdult</f>
        <v>#N/A</v>
      </c>
    </row>
    <row r="62" spans="2:13">
      <c r="B62" s="831" t="s">
        <v>109</v>
      </c>
      <c r="C62" s="832"/>
      <c r="D62" s="668" t="e">
        <f>D23*i_AbsorpInhalation1/1000</f>
        <v>#N/A</v>
      </c>
      <c r="E62" s="256" t="e">
        <f>D62/d_BwAdult</f>
        <v>#N/A</v>
      </c>
      <c r="F62" s="668" t="e">
        <f>F23*i_AbsorpInhalation1/1000</f>
        <v>#N/A</v>
      </c>
      <c r="G62" s="256" t="e">
        <f>F62/d_BwAdult</f>
        <v>#N/A</v>
      </c>
      <c r="H62" s="668" t="e">
        <f>H23*i_AbsorpInhalation1/1000</f>
        <v>#N/A</v>
      </c>
      <c r="I62" s="256" t="e">
        <f>H62/d_BwAdult</f>
        <v>#N/A</v>
      </c>
      <c r="J62" s="668" t="e">
        <f>J23*i_AbsorpInhalation1/1000</f>
        <v>#N/A</v>
      </c>
      <c r="K62" s="256" t="e">
        <f>J62/d_BwAdult</f>
        <v>#N/A</v>
      </c>
    </row>
    <row r="63" spans="2:13" ht="15" customHeight="1">
      <c r="B63" s="833" t="s">
        <v>449</v>
      </c>
      <c r="C63" s="834"/>
      <c r="D63" s="668" t="e">
        <f>D59+D60+D61+D62</f>
        <v>#N/A</v>
      </c>
      <c r="E63" s="256" t="e">
        <f>D63/d_BwAdult</f>
        <v>#N/A</v>
      </c>
      <c r="F63" s="668" t="e">
        <f>F59+F60+F61+F62</f>
        <v>#N/A</v>
      </c>
      <c r="G63" s="256" t="e">
        <f>F63/d_BwAdult</f>
        <v>#N/A</v>
      </c>
      <c r="H63" s="668" t="e">
        <f>H59+H60+H61+H62</f>
        <v>#N/A</v>
      </c>
      <c r="I63" s="256" t="e">
        <f>H63/d_BwAdult</f>
        <v>#N/A</v>
      </c>
      <c r="J63" s="668" t="e">
        <f>J59+J60+J61+J62</f>
        <v>#N/A</v>
      </c>
      <c r="K63" s="256" t="e">
        <f>J63/d_BwAdult</f>
        <v>#N/A</v>
      </c>
    </row>
    <row r="64" spans="2:13" ht="15" customHeight="1">
      <c r="B64" s="835" t="s">
        <v>450</v>
      </c>
      <c r="C64" s="836"/>
      <c r="D64" s="310"/>
      <c r="E64" s="311"/>
      <c r="F64" s="310"/>
      <c r="G64" s="311"/>
      <c r="H64" s="310"/>
      <c r="I64" s="311"/>
      <c r="J64" s="310"/>
      <c r="K64" s="311"/>
    </row>
    <row r="65" spans="2:11" ht="15" customHeight="1">
      <c r="B65" s="831" t="s">
        <v>418</v>
      </c>
      <c r="C65" s="832"/>
      <c r="D65" s="668" t="e">
        <f>IF(D25="Yes", D20,D17)*i_AbsorpProduct1/1000</f>
        <v>#N/A</v>
      </c>
      <c r="E65" s="256" t="e">
        <f t="shared" ref="E65:E70" si="2">D65/d_BwAdult</f>
        <v>#N/A</v>
      </c>
      <c r="F65" s="668" t="e">
        <f>IF(D25="Yes", F20,F17)*i_AbsorpProduct2/1000</f>
        <v>#N/A</v>
      </c>
      <c r="G65" s="256" t="e">
        <f t="shared" ref="G65:G70" si="3">F65/d_BwAdult</f>
        <v>#N/A</v>
      </c>
      <c r="H65" s="668" t="e">
        <f>IF(D25="Yes", H20,H17)*i_AbsorpProduct3/1000</f>
        <v>#N/A</v>
      </c>
      <c r="I65" s="256" t="e">
        <f t="shared" ref="I65:I70" si="4">H65/d_BwAdult</f>
        <v>#N/A</v>
      </c>
      <c r="J65" s="668" t="e">
        <f>IF(D25="Yes", J20,J17)*i_AbsorpProduct4/1000</f>
        <v>#N/A</v>
      </c>
      <c r="K65" s="256" t="e">
        <f t="shared" ref="K65:K70" si="5">J65/d_BwAdult</f>
        <v>#N/A</v>
      </c>
    </row>
    <row r="66" spans="2:11" ht="25.5" customHeight="1">
      <c r="B66" s="831" t="s">
        <v>420</v>
      </c>
      <c r="C66" s="832"/>
      <c r="D66" s="668" t="e">
        <f>IF(D26&lt;&gt;"Potential exposure",D21,D18)*i_AbsorpProduct1/1000</f>
        <v>#N/A</v>
      </c>
      <c r="E66" s="256" t="e">
        <f t="shared" si="2"/>
        <v>#N/A</v>
      </c>
      <c r="F66" s="668" t="e">
        <f>IF(D26&lt;&gt;"Potential exposure",F21,F18)*i_AbsorpProduct2/1000</f>
        <v>#N/A</v>
      </c>
      <c r="G66" s="256" t="e">
        <f t="shared" si="3"/>
        <v>#N/A</v>
      </c>
      <c r="H66" s="668" t="e">
        <f>IF(D26&lt;&gt;"Potential exposure",H21,H18)*i_AbsorpProduct3/1000</f>
        <v>#N/A</v>
      </c>
      <c r="I66" s="256" t="e">
        <f t="shared" si="4"/>
        <v>#N/A</v>
      </c>
      <c r="J66" s="668" t="e">
        <f>IF(D26&lt;&gt;"Potential exposure",J21,J18)*i_AbsorpProduct4/1000</f>
        <v>#N/A</v>
      </c>
      <c r="K66" s="256" t="e">
        <f t="shared" si="5"/>
        <v>#N/A</v>
      </c>
    </row>
    <row r="67" spans="2:11">
      <c r="B67" s="831" t="s">
        <v>104</v>
      </c>
      <c r="C67" s="832"/>
      <c r="D67" s="668" t="e">
        <f>IF($D27&lt;&gt;"None",D22*i_AbsorpProduct1,D19*i_AbsorpProduct1)/1000</f>
        <v>#N/A</v>
      </c>
      <c r="E67" s="256" t="e">
        <f t="shared" si="2"/>
        <v>#N/A</v>
      </c>
      <c r="F67" s="668" t="e">
        <f>IF($D27&lt;&gt;"None",F22*i_AbsorpProduct2,F19*i_AbsorpProduct2)/1000</f>
        <v>#N/A</v>
      </c>
      <c r="G67" s="256" t="e">
        <f t="shared" si="3"/>
        <v>#N/A</v>
      </c>
      <c r="H67" s="668" t="e">
        <f>IF($D27&lt;&gt;"None",H22*i_AbsorpProduct3,H19*i_AbsorpProduct3)/1000</f>
        <v>#N/A</v>
      </c>
      <c r="I67" s="256" t="e">
        <f t="shared" si="4"/>
        <v>#N/A</v>
      </c>
      <c r="J67" s="668" t="e">
        <f>IF($D27&lt;&gt;"None",J22*i_AbsorpProduct4,J19*i_AbsorpProduct4)/1000</f>
        <v>#N/A</v>
      </c>
      <c r="K67" s="256" t="e">
        <f t="shared" si="5"/>
        <v>#N/A</v>
      </c>
    </row>
    <row r="68" spans="2:11" ht="15" customHeight="1">
      <c r="B68" s="831" t="s">
        <v>109</v>
      </c>
      <c r="C68" s="832"/>
      <c r="D68" s="668" t="e">
        <f>D23*i_AbsorpInhalation1*$M27/1000</f>
        <v>#N/A</v>
      </c>
      <c r="E68" s="256" t="e">
        <f t="shared" si="2"/>
        <v>#N/A</v>
      </c>
      <c r="F68" s="668" t="e">
        <f>F23*i_AbsorpInhalation2*$M27/1000</f>
        <v>#N/A</v>
      </c>
      <c r="G68" s="256" t="e">
        <f t="shared" si="3"/>
        <v>#N/A</v>
      </c>
      <c r="H68" s="668" t="e">
        <f>H23*i_AbsorpInhalation3*$M27/1000</f>
        <v>#N/A</v>
      </c>
      <c r="I68" s="256" t="e">
        <f t="shared" si="4"/>
        <v>#N/A</v>
      </c>
      <c r="J68" s="668" t="e">
        <f>J23*i_AbsorpInhalation4*$M27/1000</f>
        <v>#N/A</v>
      </c>
      <c r="K68" s="256" t="e">
        <f t="shared" si="5"/>
        <v>#N/A</v>
      </c>
    </row>
    <row r="69" spans="2:11" ht="15" customHeight="1">
      <c r="B69" s="833" t="s">
        <v>449</v>
      </c>
      <c r="C69" s="834"/>
      <c r="D69" s="668" t="e">
        <f>SUM(D65:D68)</f>
        <v>#N/A</v>
      </c>
      <c r="E69" s="256" t="e">
        <f t="shared" si="2"/>
        <v>#N/A</v>
      </c>
      <c r="F69" s="668" t="e">
        <f>SUM(F65:F68)</f>
        <v>#N/A</v>
      </c>
      <c r="G69" s="256" t="e">
        <f t="shared" si="3"/>
        <v>#N/A</v>
      </c>
      <c r="H69" s="668" t="e">
        <f>SUM(H65:H68)</f>
        <v>#N/A</v>
      </c>
      <c r="I69" s="256" t="e">
        <f t="shared" si="4"/>
        <v>#N/A</v>
      </c>
      <c r="J69" s="668" t="e">
        <f>SUM(J65:J68)</f>
        <v>#N/A</v>
      </c>
      <c r="K69" s="256" t="e">
        <f t="shared" si="5"/>
        <v>#N/A</v>
      </c>
    </row>
    <row r="70" spans="2:11" ht="15.75" thickBot="1">
      <c r="B70" s="831" t="s">
        <v>432</v>
      </c>
      <c r="C70" s="832"/>
      <c r="D70" s="672" t="e">
        <f>D69*$L28</f>
        <v>#N/A</v>
      </c>
      <c r="E70" s="298" t="e">
        <f t="shared" si="2"/>
        <v>#N/A</v>
      </c>
      <c r="F70" s="672" t="e">
        <f>F69*$L28</f>
        <v>#N/A</v>
      </c>
      <c r="G70" s="298" t="e">
        <f t="shared" si="3"/>
        <v>#N/A</v>
      </c>
      <c r="H70" s="672" t="e">
        <f>H69*$L28</f>
        <v>#N/A</v>
      </c>
      <c r="I70" s="298" t="e">
        <f t="shared" si="4"/>
        <v>#N/A</v>
      </c>
      <c r="J70" s="672" t="e">
        <f>J69*$L28</f>
        <v>#N/A</v>
      </c>
      <c r="K70" s="298" t="e">
        <f t="shared" si="5"/>
        <v>#N/A</v>
      </c>
    </row>
    <row r="71" spans="2:11" ht="15.75" thickBot="1">
      <c r="B71" s="54"/>
      <c r="C71" s="55"/>
      <c r="D71" s="55"/>
      <c r="E71" s="56"/>
      <c r="F71" s="56"/>
      <c r="G71" s="56"/>
      <c r="H71" s="56"/>
      <c r="I71" s="57"/>
    </row>
    <row r="72" spans="2:11" ht="19.5" thickBot="1">
      <c r="B72" s="841" t="s">
        <v>451</v>
      </c>
      <c r="C72" s="841"/>
      <c r="D72" s="837">
        <f>i_SubstName1</f>
        <v>0</v>
      </c>
      <c r="E72" s="838"/>
      <c r="F72" s="837">
        <f>i_SubstName2</f>
        <v>0</v>
      </c>
      <c r="G72" s="838"/>
      <c r="H72" s="837">
        <f>i_SubstName3</f>
        <v>0</v>
      </c>
      <c r="I72" s="838"/>
      <c r="J72" s="837">
        <f>i_SubstName4</f>
        <v>0</v>
      </c>
      <c r="K72" s="838"/>
    </row>
    <row r="73" spans="2:11" ht="90">
      <c r="B73" s="839"/>
      <c r="C73" s="840"/>
      <c r="D73" s="656" t="s">
        <v>447</v>
      </c>
      <c r="E73" s="653" t="s">
        <v>448</v>
      </c>
      <c r="F73" s="656" t="s">
        <v>447</v>
      </c>
      <c r="G73" s="653" t="s">
        <v>448</v>
      </c>
      <c r="H73" s="156" t="s">
        <v>447</v>
      </c>
      <c r="I73" s="157" t="s">
        <v>448</v>
      </c>
      <c r="J73" s="152" t="s">
        <v>447</v>
      </c>
      <c r="K73" s="134" t="s">
        <v>448</v>
      </c>
    </row>
    <row r="74" spans="2:11" ht="15" customHeight="1">
      <c r="B74" s="835" t="s">
        <v>437</v>
      </c>
      <c r="C74" s="836"/>
      <c r="D74" s="661"/>
      <c r="E74" s="653"/>
      <c r="F74" s="661"/>
      <c r="G74" s="653"/>
      <c r="H74" s="46"/>
      <c r="I74" s="154"/>
      <c r="J74" s="47"/>
      <c r="K74" s="151"/>
    </row>
    <row r="75" spans="2:11" ht="15" customHeight="1">
      <c r="B75" s="831" t="s">
        <v>418</v>
      </c>
      <c r="C75" s="832"/>
      <c r="D75" s="665" t="e">
        <f>D32*i_AbsorpInuse1/1000</f>
        <v>#N/A</v>
      </c>
      <c r="E75" s="256" t="e">
        <f>D75/d_BwAdult</f>
        <v>#N/A</v>
      </c>
      <c r="F75" s="665" t="e">
        <f>F32*i_AbsorpInuse2/1000</f>
        <v>#N/A</v>
      </c>
      <c r="G75" s="256" t="e">
        <f>F75/d_BwAdult</f>
        <v>#N/A</v>
      </c>
      <c r="H75" s="665" t="e">
        <f>H32*i_AbsorpInuse3/1000</f>
        <v>#N/A</v>
      </c>
      <c r="I75" s="256" t="e">
        <f>H75/d_BwAdult</f>
        <v>#N/A</v>
      </c>
      <c r="J75" s="665" t="e">
        <f>J32*i_AbsorpInuse4/1000</f>
        <v>#N/A</v>
      </c>
      <c r="K75" s="256" t="e">
        <f>J75/d_BwAdult</f>
        <v>#N/A</v>
      </c>
    </row>
    <row r="76" spans="2:11">
      <c r="B76" s="831" t="s">
        <v>420</v>
      </c>
      <c r="C76" s="832"/>
      <c r="D76" s="665" t="e">
        <f>D33*i_AbsorpInuse1/1000</f>
        <v>#N/A</v>
      </c>
      <c r="E76" s="256" t="e">
        <f>D76/d_BwAdult</f>
        <v>#N/A</v>
      </c>
      <c r="F76" s="665" t="e">
        <f>F33*i_AbsorpInuse2/1000</f>
        <v>#N/A</v>
      </c>
      <c r="G76" s="256" t="e">
        <f>F76/d_BwAdult</f>
        <v>#N/A</v>
      </c>
      <c r="H76" s="665" t="e">
        <f>H33*i_AbsorpInuse3/1000</f>
        <v>#N/A</v>
      </c>
      <c r="I76" s="256" t="e">
        <f>H76/d_BwAdult</f>
        <v>#N/A</v>
      </c>
      <c r="J76" s="665" t="e">
        <f>J33*i_AbsorpInuse4/1000</f>
        <v>#N/A</v>
      </c>
      <c r="K76" s="256" t="e">
        <f>J76/d_BwAdult</f>
        <v>#N/A</v>
      </c>
    </row>
    <row r="77" spans="2:11">
      <c r="B77" s="831" t="s">
        <v>104</v>
      </c>
      <c r="C77" s="832"/>
      <c r="D77" s="665" t="e">
        <f>D34*i_AbsorpInuse1/1000</f>
        <v>#N/A</v>
      </c>
      <c r="E77" s="256" t="e">
        <f>D77/d_BwAdult</f>
        <v>#N/A</v>
      </c>
      <c r="F77" s="665" t="e">
        <f>F34*i_AbsorpInuse2/1000</f>
        <v>#N/A</v>
      </c>
      <c r="G77" s="256" t="e">
        <f>F77/d_BwAdult</f>
        <v>#N/A</v>
      </c>
      <c r="H77" s="665" t="e">
        <f>H34*i_AbsorpInuse3/1000</f>
        <v>#N/A</v>
      </c>
      <c r="I77" s="256" t="e">
        <f>H77/d_BwAdult</f>
        <v>#N/A</v>
      </c>
      <c r="J77" s="665" t="e">
        <f>J34*i_AbsorpInuse4/1000</f>
        <v>#N/A</v>
      </c>
      <c r="K77" s="256" t="e">
        <f>J77/d_BwAdult</f>
        <v>#N/A</v>
      </c>
    </row>
    <row r="78" spans="2:11" ht="15" customHeight="1">
      <c r="B78" s="831" t="s">
        <v>109</v>
      </c>
      <c r="C78" s="832"/>
      <c r="D78" s="665" t="e">
        <f>D37*i_AbsorpInhalation1/1000</f>
        <v>#N/A</v>
      </c>
      <c r="E78" s="256" t="e">
        <f>D78/d_BwAdult</f>
        <v>#N/A</v>
      </c>
      <c r="F78" s="665" t="e">
        <f>F37*i_AbsorpInhalation1/1000</f>
        <v>#N/A</v>
      </c>
      <c r="G78" s="256" t="e">
        <f>F78/d_BwAdult</f>
        <v>#N/A</v>
      </c>
      <c r="H78" s="665" t="e">
        <f>H37*i_AbsorpInhalation1/1000</f>
        <v>#N/A</v>
      </c>
      <c r="I78" s="256" t="e">
        <f>H78/d_BwAdult</f>
        <v>#N/A</v>
      </c>
      <c r="J78" s="665" t="e">
        <f>J37*i_AbsorpInhalation1/1000</f>
        <v>#N/A</v>
      </c>
      <c r="K78" s="256" t="e">
        <f>J78/d_BwAdult</f>
        <v>#N/A</v>
      </c>
    </row>
    <row r="79" spans="2:11" ht="15" customHeight="1">
      <c r="B79" s="833" t="s">
        <v>449</v>
      </c>
      <c r="C79" s="834"/>
      <c r="D79" s="665" t="e">
        <f>D75+D76+D77+D78</f>
        <v>#N/A</v>
      </c>
      <c r="E79" s="256" t="e">
        <f>D79/d_BwAdult</f>
        <v>#N/A</v>
      </c>
      <c r="F79" s="665" t="e">
        <f>F75+F76+F77+F78</f>
        <v>#N/A</v>
      </c>
      <c r="G79" s="256" t="e">
        <f>F79/d_BwAdult</f>
        <v>#N/A</v>
      </c>
      <c r="H79" s="665" t="e">
        <f>H75+H76+H77+H78</f>
        <v>#N/A</v>
      </c>
      <c r="I79" s="256" t="e">
        <f>H79/d_BwAdult</f>
        <v>#N/A</v>
      </c>
      <c r="J79" s="665" t="e">
        <f>J75+J76+J77+J78</f>
        <v>#N/A</v>
      </c>
      <c r="K79" s="256" t="e">
        <f>J79/d_BwAdult</f>
        <v>#N/A</v>
      </c>
    </row>
    <row r="80" spans="2:11">
      <c r="B80" s="835" t="s">
        <v>450</v>
      </c>
      <c r="C80" s="836"/>
      <c r="D80" s="312"/>
      <c r="E80" s="311"/>
      <c r="F80" s="312"/>
      <c r="G80" s="311"/>
      <c r="H80" s="312"/>
      <c r="I80" s="311"/>
      <c r="J80" s="312"/>
      <c r="K80" s="311"/>
    </row>
    <row r="81" spans="2:11">
      <c r="B81" s="831" t="s">
        <v>418</v>
      </c>
      <c r="C81" s="832"/>
      <c r="D81" s="665" t="e">
        <f>IF(D39="Yes", D35,D32)*i_AbsorpInuse1/1000</f>
        <v>#N/A</v>
      </c>
      <c r="E81" s="256" t="e">
        <f>D81/d_BwAdult</f>
        <v>#N/A</v>
      </c>
      <c r="F81" s="665" t="e">
        <f>IF(D39="Yes", F35,F32)*i_AbsorpInuse2/1000</f>
        <v>#N/A</v>
      </c>
      <c r="G81" s="256" t="e">
        <f>F81/d_BwAdult</f>
        <v>#N/A</v>
      </c>
      <c r="H81" s="665" t="e">
        <f>IF(D39="Yes", H35,H32)*i_AbsorpInuse3/1000</f>
        <v>#N/A</v>
      </c>
      <c r="I81" s="256" t="e">
        <f>H81/d_BwAdult</f>
        <v>#N/A</v>
      </c>
      <c r="J81" s="665" t="e">
        <f>IF(D39="Yes", J35,J32)*i_AbsorpInuse4/1000</f>
        <v>#N/A</v>
      </c>
      <c r="K81" s="256" t="e">
        <f>J81/d_BwAdult</f>
        <v>#N/A</v>
      </c>
    </row>
    <row r="82" spans="2:11" ht="25.5" customHeight="1">
      <c r="B82" s="831" t="s">
        <v>420</v>
      </c>
      <c r="C82" s="832"/>
      <c r="D82" s="665" t="e">
        <f>IF(D40&lt;&gt;"Potential exposure",D36,D33)*i_AbsorpInuse1/1000</f>
        <v>#N/A</v>
      </c>
      <c r="E82" s="256" t="e">
        <f>D82/d_BwAdult</f>
        <v>#N/A</v>
      </c>
      <c r="F82" s="665" t="e">
        <f>IF(D40&lt;&gt;"Potential exposure",F36,F33)*i_AbsorpInuse2/1000</f>
        <v>#N/A</v>
      </c>
      <c r="G82" s="256" t="e">
        <f>F82/d_BwAdult</f>
        <v>#N/A</v>
      </c>
      <c r="H82" s="665" t="e">
        <f>IF(D40&lt;&gt;"Potential exposure",H36,H33)*i_AbsorpInuse3/1000</f>
        <v>#N/A</v>
      </c>
      <c r="I82" s="256" t="e">
        <f>H82/d_BwAdult</f>
        <v>#N/A</v>
      </c>
      <c r="J82" s="665" t="e">
        <f>IF(D40&lt;&gt;"Potential exposure",J36,J33)*i_AbsorpInuse4/1000</f>
        <v>#N/A</v>
      </c>
      <c r="K82" s="256" t="e">
        <f>J82/d_BwAdult</f>
        <v>#N/A</v>
      </c>
    </row>
    <row r="83" spans="2:11" ht="15" customHeight="1">
      <c r="B83" s="831" t="s">
        <v>104</v>
      </c>
      <c r="C83" s="832"/>
      <c r="D83" s="665" t="e">
        <f>D34*i_AbsorpInuse1*$L41/1000</f>
        <v>#N/A</v>
      </c>
      <c r="E83" s="256" t="e">
        <f>D83/d_BwAdult</f>
        <v>#N/A</v>
      </c>
      <c r="F83" s="665" t="e">
        <f>F34*i_AbsorpInuse2*L41/1000</f>
        <v>#N/A</v>
      </c>
      <c r="G83" s="256" t="e">
        <f>F83/d_BwAdult</f>
        <v>#N/A</v>
      </c>
      <c r="H83" s="665" t="e">
        <f>H34*i_AbsorpInuse3*L41/1000</f>
        <v>#N/A</v>
      </c>
      <c r="I83" s="256" t="e">
        <f>H83/d_BwAdult</f>
        <v>#N/A</v>
      </c>
      <c r="J83" s="665" t="e">
        <f>J34*i_AbsorpInuse4*L41/1000</f>
        <v>#N/A</v>
      </c>
      <c r="K83" s="256" t="e">
        <f>J83/d_BwAdult</f>
        <v>#N/A</v>
      </c>
    </row>
    <row r="84" spans="2:11" ht="15" customHeight="1">
      <c r="B84" s="831" t="s">
        <v>109</v>
      </c>
      <c r="C84" s="832"/>
      <c r="D84" s="665" t="e">
        <f>D37*i_AbsorpInhalation1*$M41/1000</f>
        <v>#N/A</v>
      </c>
      <c r="E84" s="256" t="e">
        <f>D84/d_BwAdult</f>
        <v>#N/A</v>
      </c>
      <c r="F84" s="665" t="e">
        <f>F37*i_AbsorpInhalation2*$M41/1000</f>
        <v>#N/A</v>
      </c>
      <c r="G84" s="256" t="e">
        <f>F84/d_BwAdult</f>
        <v>#N/A</v>
      </c>
      <c r="H84" s="665" t="e">
        <f>H37*i_AbsorpInhalation3*$M41/1000</f>
        <v>#N/A</v>
      </c>
      <c r="I84" s="256" t="e">
        <f>H84/d_BwAdult</f>
        <v>#N/A</v>
      </c>
      <c r="J84" s="665" t="e">
        <f>J37*i_AbsorpInhalation4*$M41/1000</f>
        <v>#N/A</v>
      </c>
      <c r="K84" s="256" t="e">
        <f>J84/d_BwAdult</f>
        <v>#N/A</v>
      </c>
    </row>
    <row r="85" spans="2:11" ht="15.75" thickBot="1">
      <c r="B85" s="833" t="s">
        <v>449</v>
      </c>
      <c r="C85" s="834"/>
      <c r="D85" s="285" t="e">
        <f>SUM(D81:D84)</f>
        <v>#N/A</v>
      </c>
      <c r="E85" s="298" t="e">
        <f>D85/d_BwAdult</f>
        <v>#N/A</v>
      </c>
      <c r="F85" s="285" t="e">
        <f>SUM(F81:F84)</f>
        <v>#N/A</v>
      </c>
      <c r="G85" s="298" t="e">
        <f>F85/d_BwAdult</f>
        <v>#N/A</v>
      </c>
      <c r="H85" s="285" t="e">
        <f>SUM(H81:H84)</f>
        <v>#N/A</v>
      </c>
      <c r="I85" s="298" t="e">
        <f>H85/d_BwAdult</f>
        <v>#N/A</v>
      </c>
      <c r="J85" s="285" t="e">
        <f>SUM(J81:J84)</f>
        <v>#N/A</v>
      </c>
      <c r="K85" s="298" t="e">
        <f>J85/d_BwAdult</f>
        <v>#N/A</v>
      </c>
    </row>
    <row r="86" spans="2:11" s="43" customFormat="1">
      <c r="B86"/>
      <c r="C86"/>
      <c r="D86" s="644"/>
      <c r="E86" s="644"/>
      <c r="F86" s="644"/>
      <c r="G86" s="644"/>
      <c r="H86" s="644"/>
    </row>
    <row r="87" spans="2:11" s="43" customFormat="1" ht="15.75" thickBot="1">
      <c r="B87" s="51" t="s">
        <v>452</v>
      </c>
      <c r="C87"/>
      <c r="D87" s="644"/>
      <c r="E87" s="644"/>
      <c r="F87" s="644"/>
      <c r="G87" s="644"/>
      <c r="H87" s="644"/>
    </row>
    <row r="88" spans="2:11" ht="18.75">
      <c r="B88" s="51" t="s">
        <v>453</v>
      </c>
      <c r="D88" s="837">
        <f>i_SubstName1</f>
        <v>0</v>
      </c>
      <c r="E88" s="838"/>
      <c r="F88" s="837">
        <f>i_SubstName2</f>
        <v>0</v>
      </c>
      <c r="G88" s="838"/>
      <c r="H88" s="837">
        <f>i_SubstName3</f>
        <v>0</v>
      </c>
      <c r="I88" s="838"/>
      <c r="J88" s="837">
        <f>i_SubstName4</f>
        <v>0</v>
      </c>
      <c r="K88" s="838"/>
    </row>
    <row r="89" spans="2:11" ht="90">
      <c r="B89" s="839"/>
      <c r="C89" s="840"/>
      <c r="D89" s="656" t="s">
        <v>447</v>
      </c>
      <c r="E89" s="653" t="s">
        <v>448</v>
      </c>
      <c r="F89" s="656" t="s">
        <v>447</v>
      </c>
      <c r="G89" s="653" t="s">
        <v>448</v>
      </c>
      <c r="H89" s="656" t="s">
        <v>447</v>
      </c>
      <c r="I89" s="653" t="s">
        <v>448</v>
      </c>
      <c r="J89" s="656" t="s">
        <v>447</v>
      </c>
      <c r="K89" s="653" t="s">
        <v>448</v>
      </c>
    </row>
    <row r="90" spans="2:11" ht="15" customHeight="1">
      <c r="B90" s="835" t="s">
        <v>437</v>
      </c>
      <c r="C90" s="836"/>
      <c r="D90" s="661"/>
      <c r="E90" s="653"/>
      <c r="F90" s="661"/>
      <c r="G90" s="653"/>
      <c r="H90" s="661"/>
      <c r="I90" s="653"/>
      <c r="J90" s="661"/>
      <c r="K90" s="653"/>
    </row>
    <row r="91" spans="2:11">
      <c r="B91" s="831" t="s">
        <v>418</v>
      </c>
      <c r="C91" s="832"/>
      <c r="D91" s="665" t="e">
        <f>E17*i_AbsorpProduct1/1000</f>
        <v>#N/A</v>
      </c>
      <c r="E91" s="256" t="e">
        <f>D91/d_BwAdult</f>
        <v>#N/A</v>
      </c>
      <c r="F91" s="665" t="e">
        <f>G17*i_AbsorpProduct2/1000</f>
        <v>#N/A</v>
      </c>
      <c r="G91" s="256" t="e">
        <f>F91/d_BwAdult</f>
        <v>#N/A</v>
      </c>
      <c r="H91" s="665" t="e">
        <f>I17*i_AbsorpProduct3/1000</f>
        <v>#N/A</v>
      </c>
      <c r="I91" s="256" t="e">
        <f>H91/d_BwAdult</f>
        <v>#N/A</v>
      </c>
      <c r="J91" s="665" t="e">
        <f>K17*i_AbsorpProduct4/1000</f>
        <v>#N/A</v>
      </c>
      <c r="K91" s="256" t="e">
        <f>J91/d_BwAdult</f>
        <v>#N/A</v>
      </c>
    </row>
    <row r="92" spans="2:11">
      <c r="B92" s="831" t="s">
        <v>420</v>
      </c>
      <c r="C92" s="832"/>
      <c r="D92" s="665" t="e">
        <f>E18*i_AbsorpProduct1/1000</f>
        <v>#N/A</v>
      </c>
      <c r="E92" s="256" t="e">
        <f>D92/d_BwAdult</f>
        <v>#N/A</v>
      </c>
      <c r="F92" s="665" t="e">
        <f>G18*i_AbsorpProduct2/1000</f>
        <v>#N/A</v>
      </c>
      <c r="G92" s="256" t="e">
        <f>F92/d_BwAdult</f>
        <v>#N/A</v>
      </c>
      <c r="H92" s="665" t="e">
        <f>I18*i_AbsorpProduct3/1000</f>
        <v>#N/A</v>
      </c>
      <c r="I92" s="256" t="e">
        <f>H92/d_BwAdult</f>
        <v>#N/A</v>
      </c>
      <c r="J92" s="665" t="e">
        <f>K18*i_AbsorpProduct4/1000</f>
        <v>#N/A</v>
      </c>
      <c r="K92" s="256" t="e">
        <f>J92/d_BwAdult</f>
        <v>#N/A</v>
      </c>
    </row>
    <row r="93" spans="2:11">
      <c r="B93" s="831" t="s">
        <v>104</v>
      </c>
      <c r="C93" s="832"/>
      <c r="D93" s="665" t="e">
        <f>E19*i_AbsorpProduct1/1000</f>
        <v>#N/A</v>
      </c>
      <c r="E93" s="256" t="e">
        <f>D93/d_BwAdult</f>
        <v>#N/A</v>
      </c>
      <c r="F93" s="665" t="e">
        <f>G19*i_AbsorpProduct2/1000</f>
        <v>#N/A</v>
      </c>
      <c r="G93" s="256" t="e">
        <f>F93/d_BwAdult</f>
        <v>#N/A</v>
      </c>
      <c r="H93" s="665" t="e">
        <f>I19*i_AbsorpProduct3/1000</f>
        <v>#N/A</v>
      </c>
      <c r="I93" s="256" t="e">
        <f>H93/d_BwAdult</f>
        <v>#N/A</v>
      </c>
      <c r="J93" s="665" t="e">
        <f>K19*i_AbsorpProduct4/1000</f>
        <v>#N/A</v>
      </c>
      <c r="K93" s="256" t="e">
        <f>J93/d_BwAdult</f>
        <v>#N/A</v>
      </c>
    </row>
    <row r="94" spans="2:11" ht="15" customHeight="1">
      <c r="B94" s="831" t="s">
        <v>109</v>
      </c>
      <c r="C94" s="832"/>
      <c r="D94" s="665" t="e">
        <f>E23*i_AbsorpInhalation1/1000</f>
        <v>#N/A</v>
      </c>
      <c r="E94" s="256" t="e">
        <f>D94/d_BwAdult</f>
        <v>#N/A</v>
      </c>
      <c r="F94" s="665" t="e">
        <f>G23*i_AbsorpInhalation1/1000</f>
        <v>#N/A</v>
      </c>
      <c r="G94" s="256" t="e">
        <f>F94/d_BwAdult</f>
        <v>#N/A</v>
      </c>
      <c r="H94" s="665" t="e">
        <f>I23*i_AbsorpInhalation1/1000</f>
        <v>#N/A</v>
      </c>
      <c r="I94" s="256" t="e">
        <f>H94/d_BwAdult</f>
        <v>#N/A</v>
      </c>
      <c r="J94" s="665" t="e">
        <f>K23*i_AbsorpInhalation1/1000</f>
        <v>#N/A</v>
      </c>
      <c r="K94" s="256" t="e">
        <f>J94/d_BwAdult</f>
        <v>#N/A</v>
      </c>
    </row>
    <row r="95" spans="2:11" ht="15" customHeight="1">
      <c r="B95" s="833" t="s">
        <v>449</v>
      </c>
      <c r="C95" s="834"/>
      <c r="D95" s="665" t="e">
        <f>D91+D92+D93+D94</f>
        <v>#N/A</v>
      </c>
      <c r="E95" s="256" t="e">
        <f>D95/d_BwAdult</f>
        <v>#N/A</v>
      </c>
      <c r="F95" s="665" t="e">
        <f>F91+F92+F93+F94</f>
        <v>#N/A</v>
      </c>
      <c r="G95" s="256" t="e">
        <f>F95/d_BwAdult</f>
        <v>#N/A</v>
      </c>
      <c r="H95" s="665" t="e">
        <f>H91+H92+H93+H94</f>
        <v>#N/A</v>
      </c>
      <c r="I95" s="256" t="e">
        <f>H95/d_BwAdult</f>
        <v>#N/A</v>
      </c>
      <c r="J95" s="665" t="e">
        <f>J91+J92+J93+J94</f>
        <v>#N/A</v>
      </c>
      <c r="K95" s="256" t="e">
        <f>J95/d_BwAdult</f>
        <v>#N/A</v>
      </c>
    </row>
    <row r="96" spans="2:11" ht="15" customHeight="1">
      <c r="B96" s="835" t="s">
        <v>450</v>
      </c>
      <c r="C96" s="836"/>
      <c r="D96" s="312"/>
      <c r="E96" s="311"/>
      <c r="F96" s="312"/>
      <c r="G96" s="311"/>
      <c r="H96" s="312"/>
      <c r="I96" s="311"/>
      <c r="J96" s="312"/>
      <c r="K96" s="311"/>
    </row>
    <row r="97" spans="2:11" ht="15" customHeight="1">
      <c r="B97" s="831" t="s">
        <v>418</v>
      </c>
      <c r="C97" s="832"/>
      <c r="D97" s="665" t="e">
        <f>IF(D25="Yes", E20,E17)*i_AbsorpProduct1/1000</f>
        <v>#N/A</v>
      </c>
      <c r="E97" s="256" t="e">
        <f t="shared" ref="E97:E102" si="6">D97/d_BwAdult</f>
        <v>#N/A</v>
      </c>
      <c r="F97" s="665" t="e">
        <f>IF(D25="Yes", G20,G17)*i_AbsorpProduct2/1000</f>
        <v>#N/A</v>
      </c>
      <c r="G97" s="256" t="e">
        <f t="shared" ref="G97:G102" si="7">F97/d_BwAdult</f>
        <v>#N/A</v>
      </c>
      <c r="H97" s="665" t="e">
        <f>IF(D25="Yes", I20,I17)*i_AbsorpProduct3/1000</f>
        <v>#N/A</v>
      </c>
      <c r="I97" s="256" t="e">
        <f t="shared" ref="I97:I102" si="8">H97/d_BwAdult</f>
        <v>#N/A</v>
      </c>
      <c r="J97" s="665" t="e">
        <f>IF(D25="Yes", K20,K17)*i_AbsorpProduct4/1000</f>
        <v>#N/A</v>
      </c>
      <c r="K97" s="256" t="e">
        <f t="shared" ref="K97:K102" si="9">J97/d_BwAdult</f>
        <v>#N/A</v>
      </c>
    </row>
    <row r="98" spans="2:11">
      <c r="B98" s="831" t="s">
        <v>420</v>
      </c>
      <c r="C98" s="832"/>
      <c r="D98" s="665" t="e">
        <f>IF(D26="Work wear - arms, body and legs covered",E21,E18)*i_AbsorpProduct1/1000</f>
        <v>#N/A</v>
      </c>
      <c r="E98" s="256" t="e">
        <f t="shared" si="6"/>
        <v>#N/A</v>
      </c>
      <c r="F98" s="665" t="e">
        <f>IF(D26="Work wear - arms, body and legs covered",G21,G18)*i_AbsorpProduct2/1000</f>
        <v>#N/A</v>
      </c>
      <c r="G98" s="256" t="e">
        <f t="shared" si="7"/>
        <v>#N/A</v>
      </c>
      <c r="H98" s="665" t="e">
        <f>IF(D26="Work wear - arms, body and legs covered",I21,I18)*i_AbsorpProduct3/1000</f>
        <v>#N/A</v>
      </c>
      <c r="I98" s="256" t="e">
        <f t="shared" si="8"/>
        <v>#N/A</v>
      </c>
      <c r="J98" s="665" t="e">
        <f>IF(D26="Work wear - arms, body and legs covered",K21,K18)*i_AbsorpProduct4/1000</f>
        <v>#N/A</v>
      </c>
      <c r="K98" s="256" t="e">
        <f t="shared" si="9"/>
        <v>#N/A</v>
      </c>
    </row>
    <row r="99" spans="2:11">
      <c r="B99" s="831" t="s">
        <v>104</v>
      </c>
      <c r="C99" s="832"/>
      <c r="D99" s="665" t="e">
        <f>IF($D27&lt;&gt;"None",E22*i_AbsorpProduct1,E19*i_AbsorpProduct1)/1000</f>
        <v>#N/A</v>
      </c>
      <c r="E99" s="256" t="e">
        <f t="shared" si="6"/>
        <v>#N/A</v>
      </c>
      <c r="F99" s="665" t="e">
        <f>IF($D27&lt;&gt;"None",G22*i_AbsorpProduct2,G19*i_AbsorpProduct2)/1000</f>
        <v>#N/A</v>
      </c>
      <c r="G99" s="256" t="e">
        <f t="shared" si="7"/>
        <v>#N/A</v>
      </c>
      <c r="H99" s="665" t="e">
        <f>IF($D27&lt;&gt;"None",I22*i_AbsorpProduct3,I19*i_AbsorpProduct3)/1000</f>
        <v>#N/A</v>
      </c>
      <c r="I99" s="256" t="e">
        <f t="shared" si="8"/>
        <v>#N/A</v>
      </c>
      <c r="J99" s="665" t="e">
        <f>IF($D27&lt;&gt;"None",K22*i_AbsorpProduct4,K19*i_AbsorpProduct4)/1000</f>
        <v>#N/A</v>
      </c>
      <c r="K99" s="256" t="e">
        <f t="shared" si="9"/>
        <v>#N/A</v>
      </c>
    </row>
    <row r="100" spans="2:11" ht="15" customHeight="1">
      <c r="B100" s="831" t="s">
        <v>109</v>
      </c>
      <c r="C100" s="832"/>
      <c r="D100" s="665" t="e">
        <f>E23*i_AbsorpInhalation1*$M27/1000</f>
        <v>#N/A</v>
      </c>
      <c r="E100" s="256" t="e">
        <f t="shared" si="6"/>
        <v>#N/A</v>
      </c>
      <c r="F100" s="665" t="e">
        <f>G23*i_AbsorpInhalation2*$M27/1000</f>
        <v>#N/A</v>
      </c>
      <c r="G100" s="256" t="e">
        <f t="shared" si="7"/>
        <v>#N/A</v>
      </c>
      <c r="H100" s="665" t="e">
        <f>I23*i_AbsorpInhalation3*$M27/1000</f>
        <v>#N/A</v>
      </c>
      <c r="I100" s="256" t="e">
        <f t="shared" si="8"/>
        <v>#N/A</v>
      </c>
      <c r="J100" s="665" t="e">
        <f>K23*i_AbsorpInhalation4*$M27/1000</f>
        <v>#N/A</v>
      </c>
      <c r="K100" s="256" t="e">
        <f t="shared" si="9"/>
        <v>#N/A</v>
      </c>
    </row>
    <row r="101" spans="2:11" ht="15" customHeight="1">
      <c r="B101" s="833" t="s">
        <v>449</v>
      </c>
      <c r="C101" s="834"/>
      <c r="D101" s="665" t="e">
        <f>SUM(D97:D100)</f>
        <v>#N/A</v>
      </c>
      <c r="E101" s="256" t="e">
        <f t="shared" si="6"/>
        <v>#N/A</v>
      </c>
      <c r="F101" s="665" t="e">
        <f>SUM(F97:F100)</f>
        <v>#N/A</v>
      </c>
      <c r="G101" s="256" t="e">
        <f t="shared" si="7"/>
        <v>#N/A</v>
      </c>
      <c r="H101" s="665" t="e">
        <f>SUM(H97:H100)</f>
        <v>#N/A</v>
      </c>
      <c r="I101" s="256" t="e">
        <f t="shared" si="8"/>
        <v>#N/A</v>
      </c>
      <c r="J101" s="665" t="e">
        <f>SUM(J97:J100)</f>
        <v>#N/A</v>
      </c>
      <c r="K101" s="256" t="e">
        <f t="shared" si="9"/>
        <v>#N/A</v>
      </c>
    </row>
    <row r="102" spans="2:11" ht="15" customHeight="1" thickBot="1">
      <c r="B102" s="831" t="s">
        <v>432</v>
      </c>
      <c r="C102" s="832"/>
      <c r="D102" s="672" t="e">
        <f>D101*$L28</f>
        <v>#N/A</v>
      </c>
      <c r="E102" s="298" t="e">
        <f t="shared" si="6"/>
        <v>#N/A</v>
      </c>
      <c r="F102" s="672" t="e">
        <f>F101*$L28</f>
        <v>#N/A</v>
      </c>
      <c r="G102" s="298" t="e">
        <f t="shared" si="7"/>
        <v>#N/A</v>
      </c>
      <c r="H102" s="285" t="e">
        <f>H101*$L28</f>
        <v>#N/A</v>
      </c>
      <c r="I102" s="298" t="e">
        <f t="shared" si="8"/>
        <v>#N/A</v>
      </c>
      <c r="J102" s="285" t="e">
        <f>J101*$L28</f>
        <v>#N/A</v>
      </c>
      <c r="K102" s="298" t="e">
        <f t="shared" si="9"/>
        <v>#N/A</v>
      </c>
    </row>
    <row r="103" spans="2:11" ht="15.75" thickBot="1">
      <c r="B103" s="54"/>
      <c r="C103" s="55"/>
      <c r="D103" s="55"/>
      <c r="E103" s="56"/>
      <c r="F103" s="56"/>
      <c r="G103" s="56"/>
      <c r="H103" s="56"/>
      <c r="I103" s="57"/>
    </row>
    <row r="104" spans="2:11" ht="45.75" thickBot="1">
      <c r="B104" s="58" t="s">
        <v>451</v>
      </c>
      <c r="C104" s="58"/>
      <c r="D104" s="837">
        <f>i_SubstName1</f>
        <v>0</v>
      </c>
      <c r="E104" s="838"/>
      <c r="F104" s="837">
        <f>i_SubstName2</f>
        <v>0</v>
      </c>
      <c r="G104" s="838"/>
      <c r="H104" s="837">
        <f>i_SubstName3</f>
        <v>0</v>
      </c>
      <c r="I104" s="838"/>
      <c r="J104" s="837">
        <f>i_SubstName4</f>
        <v>0</v>
      </c>
      <c r="K104" s="838"/>
    </row>
    <row r="105" spans="2:11" ht="90">
      <c r="B105" s="839"/>
      <c r="C105" s="840"/>
      <c r="D105" s="656" t="s">
        <v>447</v>
      </c>
      <c r="E105" s="653" t="s">
        <v>448</v>
      </c>
      <c r="F105" s="656" t="s">
        <v>447</v>
      </c>
      <c r="G105" s="653" t="s">
        <v>448</v>
      </c>
      <c r="H105" s="156" t="s">
        <v>447</v>
      </c>
      <c r="I105" s="157" t="s">
        <v>448</v>
      </c>
      <c r="J105" s="156" t="s">
        <v>447</v>
      </c>
      <c r="K105" s="157" t="s">
        <v>448</v>
      </c>
    </row>
    <row r="106" spans="2:11" ht="15" customHeight="1">
      <c r="B106" s="835" t="s">
        <v>437</v>
      </c>
      <c r="C106" s="836"/>
      <c r="D106" s="661"/>
      <c r="E106" s="653"/>
      <c r="F106" s="661"/>
      <c r="G106" s="653"/>
      <c r="H106" s="150"/>
      <c r="I106" s="154"/>
      <c r="J106" s="150"/>
      <c r="K106" s="154"/>
    </row>
    <row r="107" spans="2:11" ht="15" customHeight="1">
      <c r="B107" s="831" t="s">
        <v>418</v>
      </c>
      <c r="C107" s="832"/>
      <c r="D107" s="665" t="e">
        <f>E32*i_AbsorpInuse1/1000</f>
        <v>#N/A</v>
      </c>
      <c r="E107" s="256" t="e">
        <f>D107/d_BwAdult</f>
        <v>#N/A</v>
      </c>
      <c r="F107" s="665" t="e">
        <f>G32*i_AbsorpInuse2/1000</f>
        <v>#N/A</v>
      </c>
      <c r="G107" s="256" t="e">
        <f>F107/d_BwAdult</f>
        <v>#N/A</v>
      </c>
      <c r="H107" s="665" t="e">
        <f>I32*i_AbsorpInuse3/1000</f>
        <v>#N/A</v>
      </c>
      <c r="I107" s="256" t="e">
        <f>H107/d_BwAdult</f>
        <v>#N/A</v>
      </c>
      <c r="J107" s="665" t="e">
        <f>K32*i_AbsorpInuse4/1000</f>
        <v>#N/A</v>
      </c>
      <c r="K107" s="256" t="e">
        <f>J107/d_BwAdult</f>
        <v>#N/A</v>
      </c>
    </row>
    <row r="108" spans="2:11">
      <c r="B108" s="831" t="s">
        <v>420</v>
      </c>
      <c r="C108" s="832"/>
      <c r="D108" s="665" t="e">
        <f>E33*i_AbsorpInuse1/1000</f>
        <v>#N/A</v>
      </c>
      <c r="E108" s="256" t="e">
        <f>D108/d_BwAdult</f>
        <v>#N/A</v>
      </c>
      <c r="F108" s="665" t="e">
        <f>G33*i_AbsorpInuse2/1000</f>
        <v>#N/A</v>
      </c>
      <c r="G108" s="256" t="e">
        <f>F108/d_BwAdult</f>
        <v>#N/A</v>
      </c>
      <c r="H108" s="665" t="e">
        <f>I33*i_AbsorpInuse3/1000</f>
        <v>#N/A</v>
      </c>
      <c r="I108" s="256" t="e">
        <f>H108/d_BwAdult</f>
        <v>#N/A</v>
      </c>
      <c r="J108" s="665" t="e">
        <f>K33*i_AbsorpInuse4/1000</f>
        <v>#N/A</v>
      </c>
      <c r="K108" s="256" t="e">
        <f>J108/d_BwAdult</f>
        <v>#N/A</v>
      </c>
    </row>
    <row r="109" spans="2:11">
      <c r="B109" s="831" t="s">
        <v>104</v>
      </c>
      <c r="C109" s="832"/>
      <c r="D109" s="665" t="e">
        <f>E34*i_AbsorpInuse1/1000</f>
        <v>#N/A</v>
      </c>
      <c r="E109" s="256" t="e">
        <f>D109/d_BwAdult</f>
        <v>#N/A</v>
      </c>
      <c r="F109" s="665" t="e">
        <f>G34*i_AbsorpInuse2/1000</f>
        <v>#N/A</v>
      </c>
      <c r="G109" s="256" t="e">
        <f>F109/d_BwAdult</f>
        <v>#N/A</v>
      </c>
      <c r="H109" s="665" t="e">
        <f>I34*i_AbsorpInuse3/1000</f>
        <v>#N/A</v>
      </c>
      <c r="I109" s="256" t="e">
        <f>H109/d_BwAdult</f>
        <v>#N/A</v>
      </c>
      <c r="J109" s="665" t="e">
        <f>K34*i_AbsorpInuse4/1000</f>
        <v>#N/A</v>
      </c>
      <c r="K109" s="256" t="e">
        <f>J109/d_BwAdult</f>
        <v>#N/A</v>
      </c>
    </row>
    <row r="110" spans="2:11">
      <c r="B110" s="831" t="s">
        <v>109</v>
      </c>
      <c r="C110" s="832"/>
      <c r="D110" s="665" t="e">
        <f>E37*i_AbsorpInhalation1/1000</f>
        <v>#N/A</v>
      </c>
      <c r="E110" s="256" t="e">
        <f>D110/d_BwAdult</f>
        <v>#N/A</v>
      </c>
      <c r="F110" s="665" t="e">
        <f>G37*i_AbsorpInhalation2/1000</f>
        <v>#N/A</v>
      </c>
      <c r="G110" s="256" t="e">
        <f>F110/d_BwAdult</f>
        <v>#N/A</v>
      </c>
      <c r="H110" s="665" t="e">
        <f>I37*i_AbsorpInhalation3/1000</f>
        <v>#N/A</v>
      </c>
      <c r="I110" s="256" t="e">
        <f>H110/d_BwAdult</f>
        <v>#N/A</v>
      </c>
      <c r="J110" s="665" t="e">
        <f>K37*i_AbsorpInhalation4/1000</f>
        <v>#N/A</v>
      </c>
      <c r="K110" s="256" t="e">
        <f>J110/d_BwAdult</f>
        <v>#N/A</v>
      </c>
    </row>
    <row r="111" spans="2:11" ht="15" customHeight="1">
      <c r="B111" s="833" t="s">
        <v>449</v>
      </c>
      <c r="C111" s="834"/>
      <c r="D111" s="665" t="e">
        <f>D107+D108+D109+D110</f>
        <v>#N/A</v>
      </c>
      <c r="E111" s="256" t="e">
        <f>D111/d_BwAdult</f>
        <v>#N/A</v>
      </c>
      <c r="F111" s="665" t="e">
        <f>F107+F108+F109+F110</f>
        <v>#N/A</v>
      </c>
      <c r="G111" s="256" t="e">
        <f>F111/d_BwAdult</f>
        <v>#N/A</v>
      </c>
      <c r="H111" s="665" t="e">
        <f>H107+H108+H109+H110</f>
        <v>#N/A</v>
      </c>
      <c r="I111" s="256" t="e">
        <f>H111/d_BwAdult</f>
        <v>#N/A</v>
      </c>
      <c r="J111" s="665" t="e">
        <f>J107+J108+J109+J110</f>
        <v>#N/A</v>
      </c>
      <c r="K111" s="256" t="e">
        <f>J111/d_BwAdult</f>
        <v>#N/A</v>
      </c>
    </row>
    <row r="112" spans="2:11">
      <c r="B112" s="835" t="s">
        <v>450</v>
      </c>
      <c r="C112" s="836"/>
      <c r="D112" s="312"/>
      <c r="E112" s="311"/>
      <c r="F112" s="312"/>
      <c r="G112" s="311"/>
      <c r="H112" s="312"/>
      <c r="I112" s="311"/>
      <c r="J112" s="312"/>
      <c r="K112" s="311"/>
    </row>
    <row r="113" spans="2:11">
      <c r="B113" s="831" t="s">
        <v>418</v>
      </c>
      <c r="C113" s="832"/>
      <c r="D113" s="665" t="e">
        <f>IF(D39="Yes",E35,E32)*i_AbsorpInuse1/1000</f>
        <v>#N/A</v>
      </c>
      <c r="E113" s="256" t="e">
        <f>D113/d_BwAdult</f>
        <v>#N/A</v>
      </c>
      <c r="F113" s="665" t="e">
        <f>IF(D39="Yes",G35,G32)*i_AbsorpInuse2/1000</f>
        <v>#N/A</v>
      </c>
      <c r="G113" s="256" t="e">
        <f>F113/d_BwAdult</f>
        <v>#N/A</v>
      </c>
      <c r="H113" s="665" t="e">
        <f>IF(D39="Yes",I35,I32)*i_AbsorpInuse3/1000</f>
        <v>#N/A</v>
      </c>
      <c r="I113" s="256" t="e">
        <f>H113/d_BwAdult</f>
        <v>#N/A</v>
      </c>
      <c r="J113" s="665" t="e">
        <f>IF(D39="Yes",K35,K32)*i_AbsorpInuse4/1000</f>
        <v>#N/A</v>
      </c>
      <c r="K113" s="256" t="e">
        <f>J113/d_BwAdult</f>
        <v>#N/A</v>
      </c>
    </row>
    <row r="114" spans="2:11">
      <c r="B114" s="831" t="s">
        <v>420</v>
      </c>
      <c r="C114" s="832"/>
      <c r="D114" s="665" t="e">
        <f>IF(D40="Work wear - arms, body and legs covered",E36,E33)*i_AbsorpInuse1/1000</f>
        <v>#N/A</v>
      </c>
      <c r="E114" s="256" t="e">
        <f>D114/d_BwAdult</f>
        <v>#N/A</v>
      </c>
      <c r="F114" s="665" t="e">
        <f>IF(D40="Work wear - arms, body and legs covered",G36,G33)*i_AbsorpInuse2/1000</f>
        <v>#N/A</v>
      </c>
      <c r="G114" s="256" t="e">
        <f>F114/d_BwAdult</f>
        <v>#N/A</v>
      </c>
      <c r="H114" s="665" t="e">
        <f>IF(D40="Work wear - arms, body and legs covered",I36,I33)*i_AbsorpInuse3/1000</f>
        <v>#N/A</v>
      </c>
      <c r="I114" s="256" t="e">
        <f>H114/d_BwAdult</f>
        <v>#N/A</v>
      </c>
      <c r="J114" s="665" t="e">
        <f>IF(D40="Work wear - arms, body and legs covered",K36,K33)*i_AbsorpInuse4/1000</f>
        <v>#N/A</v>
      </c>
      <c r="K114" s="256" t="e">
        <f>J114/d_BwAdult</f>
        <v>#N/A</v>
      </c>
    </row>
    <row r="115" spans="2:11">
      <c r="B115" s="831" t="s">
        <v>104</v>
      </c>
      <c r="C115" s="832"/>
      <c r="D115" s="665" t="e">
        <f>E34*i_AbsorpInuse1*$L41/1000</f>
        <v>#N/A</v>
      </c>
      <c r="E115" s="256" t="e">
        <f>D115/d_BwAdult</f>
        <v>#N/A</v>
      </c>
      <c r="F115" s="668" t="e">
        <f>G34*i_AbsorpInuse2*$L41/1000</f>
        <v>#N/A</v>
      </c>
      <c r="G115" s="256" t="e">
        <f>F115/d_BwAdult</f>
        <v>#N/A</v>
      </c>
      <c r="H115" s="665" t="e">
        <f>I34*i_AbsorpInuse3*$L41/1000</f>
        <v>#N/A</v>
      </c>
      <c r="I115" s="256" t="e">
        <f>H115/d_BwAdult</f>
        <v>#N/A</v>
      </c>
      <c r="J115" s="665" t="e">
        <f>K34*i_AbsorpInuse4*$L41/1000</f>
        <v>#N/A</v>
      </c>
      <c r="K115" s="256" t="e">
        <f>J115/d_BwAdult</f>
        <v>#N/A</v>
      </c>
    </row>
    <row r="116" spans="2:11">
      <c r="B116" s="831" t="s">
        <v>109</v>
      </c>
      <c r="C116" s="832"/>
      <c r="D116" s="665" t="e">
        <f>E37*i_AbsorpInhalation1*$M41/1000</f>
        <v>#N/A</v>
      </c>
      <c r="E116" s="256" t="e">
        <f>D116/d_BwAdult</f>
        <v>#N/A</v>
      </c>
      <c r="F116" s="665" t="e">
        <f>G37*i_AbsorpInhalation2*$M41/1000</f>
        <v>#N/A</v>
      </c>
      <c r="G116" s="256" t="e">
        <f>F116/d_BwAdult</f>
        <v>#N/A</v>
      </c>
      <c r="H116" s="665" t="e">
        <f>I37*i_AbsorpInhalation3*$M41/1000</f>
        <v>#N/A</v>
      </c>
      <c r="I116" s="256" t="e">
        <f>H116/d_BwAdult</f>
        <v>#N/A</v>
      </c>
      <c r="J116" s="665" t="e">
        <f>K37*i_AbsorpInhalation4*$M41/1000</f>
        <v>#N/A</v>
      </c>
      <c r="K116" s="256" t="e">
        <f>J116/d_BwAdult</f>
        <v>#N/A</v>
      </c>
    </row>
    <row r="117" spans="2:11" ht="15.75" thickBot="1">
      <c r="B117" s="833" t="s">
        <v>449</v>
      </c>
      <c r="C117" s="834"/>
      <c r="D117" s="285" t="e">
        <f>SUM(D113:D116)</f>
        <v>#N/A</v>
      </c>
      <c r="E117" s="298" t="e">
        <f>D117/d_BwAdult</f>
        <v>#N/A</v>
      </c>
      <c r="F117" s="285" t="e">
        <f>SUM(F113:F116)</f>
        <v>#N/A</v>
      </c>
      <c r="G117" s="298" t="e">
        <f>F117/d_BwAdult</f>
        <v>#N/A</v>
      </c>
      <c r="H117" s="285" t="e">
        <f>SUM(H113:H116)</f>
        <v>#N/A</v>
      </c>
      <c r="I117" s="298" t="e">
        <f>H117/d_BwAdult</f>
        <v>#N/A</v>
      </c>
      <c r="J117" s="285" t="e">
        <f>SUM(J113:J116)</f>
        <v>#N/A</v>
      </c>
      <c r="K117" s="298" t="e">
        <f>J117/d_BwAdult</f>
        <v>#N/A</v>
      </c>
    </row>
  </sheetData>
  <sheetProtection algorithmName="SHA-512" hashValue="70LpnEqk2HKCFZjk6uNyx9xyL1ut3Wwa8FwbvhnTqF/llPK7hCMMlpjlvX71WGkYbE5IsG2KPrcp8QAx+VYwIQ==" saltValue="9opAcAwxULDPOiEmtp9sRw==" spinCount="100000" sheet="1" objects="1" scenarios="1" formatCells="0" formatColumns="0"/>
  <mergeCells count="150">
    <mergeCell ref="D2:E2"/>
    <mergeCell ref="F2:G2"/>
    <mergeCell ref="H2:I2"/>
    <mergeCell ref="J2:K2"/>
    <mergeCell ref="D3:E3"/>
    <mergeCell ref="F3:G3"/>
    <mergeCell ref="H3:I3"/>
    <mergeCell ref="J3:K3"/>
    <mergeCell ref="D6:E6"/>
    <mergeCell ref="F6:G6"/>
    <mergeCell ref="H6:I6"/>
    <mergeCell ref="J6:K6"/>
    <mergeCell ref="D7:K7"/>
    <mergeCell ref="D8:K8"/>
    <mergeCell ref="D4:E4"/>
    <mergeCell ref="F4:G4"/>
    <mergeCell ref="H4:I4"/>
    <mergeCell ref="J4:K4"/>
    <mergeCell ref="D5:E5"/>
    <mergeCell ref="F5:G5"/>
    <mergeCell ref="H5:I5"/>
    <mergeCell ref="J5:K5"/>
    <mergeCell ref="D9:K9"/>
    <mergeCell ref="D10:K10"/>
    <mergeCell ref="D11:K11"/>
    <mergeCell ref="D12:K12"/>
    <mergeCell ref="B13:M13"/>
    <mergeCell ref="D14:E14"/>
    <mergeCell ref="F14:G14"/>
    <mergeCell ref="H14:I14"/>
    <mergeCell ref="J14:K14"/>
    <mergeCell ref="L15:L16"/>
    <mergeCell ref="M15:M16"/>
    <mergeCell ref="D24:E24"/>
    <mergeCell ref="D25:E25"/>
    <mergeCell ref="D26:E26"/>
    <mergeCell ref="D27:E27"/>
    <mergeCell ref="B15:B28"/>
    <mergeCell ref="C15:C16"/>
    <mergeCell ref="D15:E15"/>
    <mergeCell ref="F15:G15"/>
    <mergeCell ref="H15:I15"/>
    <mergeCell ref="J15:K15"/>
    <mergeCell ref="D28:E28"/>
    <mergeCell ref="L30:L31"/>
    <mergeCell ref="M30:M31"/>
    <mergeCell ref="M32:M37"/>
    <mergeCell ref="D38:E38"/>
    <mergeCell ref="D39:E39"/>
    <mergeCell ref="L39:M39"/>
    <mergeCell ref="B29:B42"/>
    <mergeCell ref="D29:E29"/>
    <mergeCell ref="F29:G29"/>
    <mergeCell ref="H29:I29"/>
    <mergeCell ref="J29:K29"/>
    <mergeCell ref="C30:C31"/>
    <mergeCell ref="D30:E30"/>
    <mergeCell ref="F30:G30"/>
    <mergeCell ref="H30:I30"/>
    <mergeCell ref="J30:K30"/>
    <mergeCell ref="B46:M46"/>
    <mergeCell ref="B47:C47"/>
    <mergeCell ref="B48:C48"/>
    <mergeCell ref="B49:C49"/>
    <mergeCell ref="B50:M50"/>
    <mergeCell ref="B51:C51"/>
    <mergeCell ref="D40:E40"/>
    <mergeCell ref="L40:M40"/>
    <mergeCell ref="D41:E41"/>
    <mergeCell ref="D42:E42"/>
    <mergeCell ref="L42:M42"/>
    <mergeCell ref="D44:E44"/>
    <mergeCell ref="F44:G44"/>
    <mergeCell ref="H44:I44"/>
    <mergeCell ref="J44:K44"/>
    <mergeCell ref="L44:M44"/>
    <mergeCell ref="J56:K56"/>
    <mergeCell ref="B57:C57"/>
    <mergeCell ref="B58:C58"/>
    <mergeCell ref="B59:C59"/>
    <mergeCell ref="B60:C60"/>
    <mergeCell ref="B61:C61"/>
    <mergeCell ref="B52:C52"/>
    <mergeCell ref="E54:F54"/>
    <mergeCell ref="E55:F55"/>
    <mergeCell ref="D56:E56"/>
    <mergeCell ref="F56:G56"/>
    <mergeCell ref="H56:I56"/>
    <mergeCell ref="B68:C68"/>
    <mergeCell ref="B69:C69"/>
    <mergeCell ref="B70:C70"/>
    <mergeCell ref="B72:C72"/>
    <mergeCell ref="D72:E72"/>
    <mergeCell ref="F72:G72"/>
    <mergeCell ref="B62:C62"/>
    <mergeCell ref="B63:C63"/>
    <mergeCell ref="B64:C64"/>
    <mergeCell ref="B65:C65"/>
    <mergeCell ref="B66:C66"/>
    <mergeCell ref="B67:C67"/>
    <mergeCell ref="B77:C77"/>
    <mergeCell ref="B78:C78"/>
    <mergeCell ref="B79:C79"/>
    <mergeCell ref="B80:C80"/>
    <mergeCell ref="B81:C81"/>
    <mergeCell ref="B82:C82"/>
    <mergeCell ref="H72:I72"/>
    <mergeCell ref="J72:K72"/>
    <mergeCell ref="B73:C73"/>
    <mergeCell ref="B74:C74"/>
    <mergeCell ref="B75:C75"/>
    <mergeCell ref="B76:C76"/>
    <mergeCell ref="J88:K88"/>
    <mergeCell ref="B89:C89"/>
    <mergeCell ref="B90:C90"/>
    <mergeCell ref="B91:C91"/>
    <mergeCell ref="B92:C92"/>
    <mergeCell ref="B93:C93"/>
    <mergeCell ref="B83:C83"/>
    <mergeCell ref="B84:C84"/>
    <mergeCell ref="B85:C85"/>
    <mergeCell ref="D88:E88"/>
    <mergeCell ref="F88:G88"/>
    <mergeCell ref="H88:I88"/>
    <mergeCell ref="B100:C100"/>
    <mergeCell ref="B101:C101"/>
    <mergeCell ref="B102:C102"/>
    <mergeCell ref="D104:E104"/>
    <mergeCell ref="F104:G104"/>
    <mergeCell ref="H104:I104"/>
    <mergeCell ref="B94:C94"/>
    <mergeCell ref="B95:C95"/>
    <mergeCell ref="B96:C96"/>
    <mergeCell ref="B97:C97"/>
    <mergeCell ref="B98:C98"/>
    <mergeCell ref="B99:C99"/>
    <mergeCell ref="B116:C116"/>
    <mergeCell ref="B117:C117"/>
    <mergeCell ref="B110:C110"/>
    <mergeCell ref="B111:C111"/>
    <mergeCell ref="B112:C112"/>
    <mergeCell ref="B113:C113"/>
    <mergeCell ref="B114:C114"/>
    <mergeCell ref="B115:C115"/>
    <mergeCell ref="J104:K104"/>
    <mergeCell ref="B105:C105"/>
    <mergeCell ref="B106:C106"/>
    <mergeCell ref="B107:C107"/>
    <mergeCell ref="B108:C108"/>
    <mergeCell ref="B109:C109"/>
  </mergeCells>
  <conditionalFormatting sqref="D47:E48 D51:E52 D59:E63 D65:E70 D75:E79 D81:E85 D91:E95 D107:E111 D113:E117 D97:E102">
    <cfRule type="cellIs" dxfId="5589" priority="239" operator="greaterThanOrEqual">
      <formula>10</formula>
    </cfRule>
    <cfRule type="cellIs" dxfId="5588" priority="240" operator="between">
      <formula>1</formula>
      <formula>10</formula>
    </cfRule>
    <cfRule type="cellIs" dxfId="5587" priority="241" operator="between">
      <formula>0.1</formula>
      <formula>1</formula>
    </cfRule>
    <cfRule type="cellIs" dxfId="5586" priority="242" operator="between">
      <formula>0.001</formula>
      <formula>0.01</formula>
    </cfRule>
    <cfRule type="cellIs" dxfId="5585" priority="243" operator="between">
      <formula>0</formula>
      <formula>0.001</formula>
    </cfRule>
    <cfRule type="cellIs" dxfId="5584" priority="244" operator="between">
      <formula>0.01</formula>
      <formula>0.1</formula>
    </cfRule>
  </conditionalFormatting>
  <conditionalFormatting sqref="D17:E23">
    <cfRule type="cellIs" dxfId="5583" priority="233" operator="between">
      <formula>10</formula>
      <formula>100</formula>
    </cfRule>
    <cfRule type="cellIs" dxfId="5582" priority="234" operator="between">
      <formula>1</formula>
      <formula>10</formula>
    </cfRule>
    <cfRule type="cellIs" dxfId="5581" priority="235" operator="between">
      <formula>0.1</formula>
      <formula>1</formula>
    </cfRule>
    <cfRule type="cellIs" dxfId="5580" priority="236" operator="between">
      <formula>0.001</formula>
      <formula>0.01</formula>
    </cfRule>
    <cfRule type="cellIs" dxfId="5579" priority="237" operator="between">
      <formula>0</formula>
      <formula>0.001</formula>
    </cfRule>
    <cfRule type="cellIs" dxfId="5578" priority="238" operator="between">
      <formula>0.01</formula>
      <formula>0.1</formula>
    </cfRule>
  </conditionalFormatting>
  <conditionalFormatting sqref="D17:K17">
    <cfRule type="cellIs" dxfId="5577" priority="231" operator="greaterThanOrEqual">
      <formula>10000</formula>
    </cfRule>
    <cfRule type="cellIs" dxfId="5576" priority="232" operator="greaterThanOrEqual">
      <formula>100</formula>
    </cfRule>
  </conditionalFormatting>
  <conditionalFormatting sqref="D18:E23">
    <cfRule type="cellIs" dxfId="5575" priority="245" operator="greaterThanOrEqual">
      <formula>100</formula>
    </cfRule>
  </conditionalFormatting>
  <conditionalFormatting sqref="D18:E23">
    <cfRule type="cellIs" dxfId="5574" priority="229" operator="greaterThanOrEqual">
      <formula>10000</formula>
    </cfRule>
    <cfRule type="cellIs" dxfId="5573" priority="230" operator="greaterThanOrEqual">
      <formula>100</formula>
    </cfRule>
  </conditionalFormatting>
  <conditionalFormatting sqref="D32:E37">
    <cfRule type="cellIs" dxfId="5572" priority="222" operator="between">
      <formula>10</formula>
      <formula>100</formula>
    </cfRule>
    <cfRule type="cellIs" dxfId="5571" priority="223" operator="between">
      <formula>1</formula>
      <formula>10</formula>
    </cfRule>
    <cfRule type="cellIs" dxfId="5570" priority="224" operator="between">
      <formula>0.1</formula>
      <formula>1</formula>
    </cfRule>
    <cfRule type="cellIs" dxfId="5569" priority="225" operator="between">
      <formula>0.001</formula>
      <formula>0.01</formula>
    </cfRule>
    <cfRule type="cellIs" dxfId="5568" priority="226" operator="between">
      <formula>0</formula>
      <formula>0.001</formula>
    </cfRule>
    <cfRule type="cellIs" dxfId="5567" priority="227" operator="between">
      <formula>0.01</formula>
      <formula>0.1</formula>
    </cfRule>
  </conditionalFormatting>
  <conditionalFormatting sqref="D32:E37">
    <cfRule type="cellIs" dxfId="5566" priority="228" operator="greaterThanOrEqual">
      <formula>100</formula>
    </cfRule>
  </conditionalFormatting>
  <conditionalFormatting sqref="D32:E37">
    <cfRule type="cellIs" dxfId="5565" priority="220" operator="greaterThanOrEqual">
      <formula>10000</formula>
    </cfRule>
    <cfRule type="cellIs" dxfId="5564" priority="221" operator="greaterThanOrEqual">
      <formula>100</formula>
    </cfRule>
  </conditionalFormatting>
  <conditionalFormatting sqref="D53:G53 L53:M53">
    <cfRule type="cellIs" dxfId="5563" priority="216" operator="between">
      <formula>0.001</formula>
      <formula>0.01</formula>
    </cfRule>
    <cfRule type="cellIs" dxfId="5562" priority="217" operator="between">
      <formula>0.1</formula>
      <formula>1</formula>
    </cfRule>
    <cfRule type="cellIs" dxfId="5561" priority="218" operator="greaterThanOrEqual">
      <formula>1</formula>
    </cfRule>
    <cfRule type="cellIs" dxfId="5560" priority="219" operator="between">
      <formula>0.01</formula>
      <formula>0.1</formula>
    </cfRule>
  </conditionalFormatting>
  <conditionalFormatting sqref="F17:G23">
    <cfRule type="cellIs" dxfId="5559" priority="209" operator="between">
      <formula>10</formula>
      <formula>100</formula>
    </cfRule>
    <cfRule type="cellIs" dxfId="5558" priority="210" operator="between">
      <formula>1</formula>
      <formula>10</formula>
    </cfRule>
    <cfRule type="cellIs" dxfId="5557" priority="211" operator="between">
      <formula>0.1</formula>
      <formula>1</formula>
    </cfRule>
    <cfRule type="cellIs" dxfId="5556" priority="212" operator="between">
      <formula>0.001</formula>
      <formula>0.01</formula>
    </cfRule>
    <cfRule type="cellIs" dxfId="5555" priority="213" operator="between">
      <formula>0</formula>
      <formula>0.001</formula>
    </cfRule>
    <cfRule type="cellIs" dxfId="5554" priority="214" operator="between">
      <formula>0.01</formula>
      <formula>0.1</formula>
    </cfRule>
  </conditionalFormatting>
  <conditionalFormatting sqref="F18:G23">
    <cfRule type="cellIs" dxfId="5553" priority="215" operator="greaterThanOrEqual">
      <formula>100</formula>
    </cfRule>
  </conditionalFormatting>
  <conditionalFormatting sqref="F18:G23">
    <cfRule type="cellIs" dxfId="5552" priority="207" operator="greaterThanOrEqual">
      <formula>10000</formula>
    </cfRule>
    <cfRule type="cellIs" dxfId="5551" priority="208" operator="greaterThanOrEqual">
      <formula>100</formula>
    </cfRule>
  </conditionalFormatting>
  <conditionalFormatting sqref="H17:I23">
    <cfRule type="cellIs" dxfId="5550" priority="200" operator="between">
      <formula>10</formula>
      <formula>100</formula>
    </cfRule>
    <cfRule type="cellIs" dxfId="5549" priority="201" operator="between">
      <formula>1</formula>
      <formula>10</formula>
    </cfRule>
    <cfRule type="cellIs" dxfId="5548" priority="202" operator="between">
      <formula>0.1</formula>
      <formula>1</formula>
    </cfRule>
    <cfRule type="cellIs" dxfId="5547" priority="203" operator="between">
      <formula>0.001</formula>
      <formula>0.01</formula>
    </cfRule>
    <cfRule type="cellIs" dxfId="5546" priority="204" operator="between">
      <formula>0</formula>
      <formula>0.001</formula>
    </cfRule>
    <cfRule type="cellIs" dxfId="5545" priority="205" operator="between">
      <formula>0.01</formula>
      <formula>0.1</formula>
    </cfRule>
  </conditionalFormatting>
  <conditionalFormatting sqref="H18:I23">
    <cfRule type="cellIs" dxfId="5544" priority="206" operator="greaterThanOrEqual">
      <formula>100</formula>
    </cfRule>
  </conditionalFormatting>
  <conditionalFormatting sqref="H18:I23">
    <cfRule type="cellIs" dxfId="5543" priority="198" operator="greaterThanOrEqual">
      <formula>10000</formula>
    </cfRule>
    <cfRule type="cellIs" dxfId="5542" priority="199" operator="greaterThanOrEqual">
      <formula>100</formula>
    </cfRule>
  </conditionalFormatting>
  <conditionalFormatting sqref="J17:K23">
    <cfRule type="cellIs" dxfId="5541" priority="191" operator="between">
      <formula>10</formula>
      <formula>100</formula>
    </cfRule>
    <cfRule type="cellIs" dxfId="5540" priority="192" operator="between">
      <formula>1</formula>
      <formula>10</formula>
    </cfRule>
    <cfRule type="cellIs" dxfId="5539" priority="193" operator="between">
      <formula>0.1</formula>
      <formula>1</formula>
    </cfRule>
    <cfRule type="cellIs" dxfId="5538" priority="194" operator="between">
      <formula>0.001</formula>
      <formula>0.01</formula>
    </cfRule>
    <cfRule type="cellIs" dxfId="5537" priority="195" operator="between">
      <formula>0</formula>
      <formula>0.001</formula>
    </cfRule>
    <cfRule type="cellIs" dxfId="5536" priority="196" operator="between">
      <formula>0.01</formula>
      <formula>0.1</formula>
    </cfRule>
  </conditionalFormatting>
  <conditionalFormatting sqref="J18:K23">
    <cfRule type="cellIs" dxfId="5535" priority="197" operator="greaterThanOrEqual">
      <formula>100</formula>
    </cfRule>
  </conditionalFormatting>
  <conditionalFormatting sqref="J18:K23">
    <cfRule type="cellIs" dxfId="5534" priority="189" operator="greaterThanOrEqual">
      <formula>10000</formula>
    </cfRule>
    <cfRule type="cellIs" dxfId="5533" priority="190" operator="greaterThanOrEqual">
      <formula>100</formula>
    </cfRule>
  </conditionalFormatting>
  <conditionalFormatting sqref="F32:G37">
    <cfRule type="cellIs" dxfId="5532" priority="182" operator="between">
      <formula>10</formula>
      <formula>100</formula>
    </cfRule>
    <cfRule type="cellIs" dxfId="5531" priority="183" operator="between">
      <formula>1</formula>
      <formula>10</formula>
    </cfRule>
    <cfRule type="cellIs" dxfId="5530" priority="184" operator="between">
      <formula>0.1</formula>
      <formula>1</formula>
    </cfRule>
    <cfRule type="cellIs" dxfId="5529" priority="185" operator="between">
      <formula>0.001</formula>
      <formula>0.01</formula>
    </cfRule>
    <cfRule type="cellIs" dxfId="5528" priority="186" operator="between">
      <formula>0</formula>
      <formula>0.001</formula>
    </cfRule>
    <cfRule type="cellIs" dxfId="5527" priority="187" operator="between">
      <formula>0.01</formula>
      <formula>0.1</formula>
    </cfRule>
  </conditionalFormatting>
  <conditionalFormatting sqref="F32:G37">
    <cfRule type="cellIs" dxfId="5526" priority="188" operator="greaterThanOrEqual">
      <formula>100</formula>
    </cfRule>
  </conditionalFormatting>
  <conditionalFormatting sqref="F32:G37">
    <cfRule type="cellIs" dxfId="5525" priority="180" operator="greaterThanOrEqual">
      <formula>10000</formula>
    </cfRule>
    <cfRule type="cellIs" dxfId="5524" priority="181" operator="greaterThanOrEqual">
      <formula>100</formula>
    </cfRule>
  </conditionalFormatting>
  <conditionalFormatting sqref="H32:I37">
    <cfRule type="cellIs" dxfId="5523" priority="173" operator="between">
      <formula>10</formula>
      <formula>100</formula>
    </cfRule>
    <cfRule type="cellIs" dxfId="5522" priority="174" operator="between">
      <formula>1</formula>
      <formula>10</formula>
    </cfRule>
    <cfRule type="cellIs" dxfId="5521" priority="175" operator="between">
      <formula>0.1</formula>
      <formula>1</formula>
    </cfRule>
    <cfRule type="cellIs" dxfId="5520" priority="176" operator="between">
      <formula>0.001</formula>
      <formula>0.01</formula>
    </cfRule>
    <cfRule type="cellIs" dxfId="5519" priority="177" operator="between">
      <formula>0</formula>
      <formula>0.001</formula>
    </cfRule>
    <cfRule type="cellIs" dxfId="5518" priority="178" operator="between">
      <formula>0.01</formula>
      <formula>0.1</formula>
    </cfRule>
  </conditionalFormatting>
  <conditionalFormatting sqref="H32:I37">
    <cfRule type="cellIs" dxfId="5517" priority="179" operator="greaterThanOrEqual">
      <formula>100</formula>
    </cfRule>
  </conditionalFormatting>
  <conditionalFormatting sqref="H32:I37">
    <cfRule type="cellIs" dxfId="5516" priority="171" operator="greaterThanOrEqual">
      <formula>10000</formula>
    </cfRule>
    <cfRule type="cellIs" dxfId="5515" priority="172" operator="greaterThanOrEqual">
      <formula>100</formula>
    </cfRule>
  </conditionalFormatting>
  <conditionalFormatting sqref="J32:K37">
    <cfRule type="cellIs" dxfId="5514" priority="164" operator="between">
      <formula>10</formula>
      <formula>100</formula>
    </cfRule>
    <cfRule type="cellIs" dxfId="5513" priority="165" operator="between">
      <formula>1</formula>
      <formula>10</formula>
    </cfRule>
    <cfRule type="cellIs" dxfId="5512" priority="166" operator="between">
      <formula>0.1</formula>
      <formula>1</formula>
    </cfRule>
    <cfRule type="cellIs" dxfId="5511" priority="167" operator="between">
      <formula>0.001</formula>
      <formula>0.01</formula>
    </cfRule>
    <cfRule type="cellIs" dxfId="5510" priority="168" operator="between">
      <formula>0</formula>
      <formula>0.001</formula>
    </cfRule>
    <cfRule type="cellIs" dxfId="5509" priority="169" operator="between">
      <formula>0.01</formula>
      <formula>0.1</formula>
    </cfRule>
  </conditionalFormatting>
  <conditionalFormatting sqref="J32:K37">
    <cfRule type="cellIs" dxfId="5508" priority="170" operator="greaterThanOrEqual">
      <formula>100</formula>
    </cfRule>
  </conditionalFormatting>
  <conditionalFormatting sqref="J32:K37">
    <cfRule type="cellIs" dxfId="5507" priority="162" operator="greaterThanOrEqual">
      <formula>10000</formula>
    </cfRule>
    <cfRule type="cellIs" dxfId="5506" priority="163" operator="greaterThanOrEqual">
      <formula>100</formula>
    </cfRule>
  </conditionalFormatting>
  <conditionalFormatting sqref="F47:G48 F51:G52">
    <cfRule type="cellIs" dxfId="5505" priority="156" operator="greaterThanOrEqual">
      <formula>10</formula>
    </cfRule>
    <cfRule type="cellIs" dxfId="5504" priority="157" operator="between">
      <formula>1</formula>
      <formula>10</formula>
    </cfRule>
    <cfRule type="cellIs" dxfId="5503" priority="158" operator="between">
      <formula>0.1</formula>
      <formula>1</formula>
    </cfRule>
    <cfRule type="cellIs" dxfId="5502" priority="159" operator="between">
      <formula>0.001</formula>
      <formula>0.01</formula>
    </cfRule>
    <cfRule type="cellIs" dxfId="5501" priority="160" operator="between">
      <formula>0</formula>
      <formula>0.001</formula>
    </cfRule>
    <cfRule type="cellIs" dxfId="5500" priority="161" operator="between">
      <formula>0.01</formula>
      <formula>0.1</formula>
    </cfRule>
  </conditionalFormatting>
  <conditionalFormatting sqref="G67:G68 G70 F59:K63 F65:K66 F69:K69 I67:I68 K67:K68 I70 K70">
    <cfRule type="cellIs" dxfId="5499" priority="150" operator="greaterThanOrEqual">
      <formula>10</formula>
    </cfRule>
    <cfRule type="cellIs" dxfId="5498" priority="151" operator="between">
      <formula>1</formula>
      <formula>10</formula>
    </cfRule>
    <cfRule type="cellIs" dxfId="5497" priority="152" operator="between">
      <formula>0.1</formula>
      <formula>1</formula>
    </cfRule>
    <cfRule type="cellIs" dxfId="5496" priority="153" operator="between">
      <formula>0.001</formula>
      <formula>0.01</formula>
    </cfRule>
    <cfRule type="cellIs" dxfId="5495" priority="154" operator="between">
      <formula>0</formula>
      <formula>0.001</formula>
    </cfRule>
    <cfRule type="cellIs" dxfId="5494" priority="155" operator="between">
      <formula>0.01</formula>
      <formula>0.1</formula>
    </cfRule>
  </conditionalFormatting>
  <conditionalFormatting sqref="F75:G79 F81:G83 F85:G85 G84">
    <cfRule type="cellIs" dxfId="5493" priority="144" operator="greaterThanOrEqual">
      <formula>10</formula>
    </cfRule>
    <cfRule type="cellIs" dxfId="5492" priority="145" operator="between">
      <formula>1</formula>
      <formula>10</formula>
    </cfRule>
    <cfRule type="cellIs" dxfId="5491" priority="146" operator="between">
      <formula>0.1</formula>
      <formula>1</formula>
    </cfRule>
    <cfRule type="cellIs" dxfId="5490" priority="147" operator="between">
      <formula>0.001</formula>
      <formula>0.01</formula>
    </cfRule>
    <cfRule type="cellIs" dxfId="5489" priority="148" operator="between">
      <formula>0</formula>
      <formula>0.001</formula>
    </cfRule>
    <cfRule type="cellIs" dxfId="5488" priority="149" operator="between">
      <formula>0.01</formula>
      <formula>0.1</formula>
    </cfRule>
  </conditionalFormatting>
  <conditionalFormatting sqref="G99:G100 I99:I100 K99:K100 I102 K102 F91:K95 F97:K98 F101:K101">
    <cfRule type="cellIs" dxfId="5487" priority="138" operator="greaterThanOrEqual">
      <formula>10</formula>
    </cfRule>
    <cfRule type="cellIs" dxfId="5486" priority="139" operator="between">
      <formula>1</formula>
      <formula>10</formula>
    </cfRule>
    <cfRule type="cellIs" dxfId="5485" priority="140" operator="between">
      <formula>0.1</formula>
      <formula>1</formula>
    </cfRule>
    <cfRule type="cellIs" dxfId="5484" priority="141" operator="between">
      <formula>0.001</formula>
      <formula>0.01</formula>
    </cfRule>
    <cfRule type="cellIs" dxfId="5483" priority="142" operator="between">
      <formula>0</formula>
      <formula>0.001</formula>
    </cfRule>
    <cfRule type="cellIs" dxfId="5482" priority="143" operator="between">
      <formula>0.01</formula>
      <formula>0.1</formula>
    </cfRule>
  </conditionalFormatting>
  <conditionalFormatting sqref="F107:G111 F113:G114 F117:G117 G115:G116">
    <cfRule type="cellIs" dxfId="5481" priority="132" operator="greaterThanOrEqual">
      <formula>10</formula>
    </cfRule>
    <cfRule type="cellIs" dxfId="5480" priority="133" operator="between">
      <formula>1</formula>
      <formula>10</formula>
    </cfRule>
    <cfRule type="cellIs" dxfId="5479" priority="134" operator="between">
      <formula>0.1</formula>
      <formula>1</formula>
    </cfRule>
    <cfRule type="cellIs" dxfId="5478" priority="135" operator="between">
      <formula>0.001</formula>
      <formula>0.01</formula>
    </cfRule>
    <cfRule type="cellIs" dxfId="5477" priority="136" operator="between">
      <formula>0</formula>
      <formula>0.001</formula>
    </cfRule>
    <cfRule type="cellIs" dxfId="5476" priority="137" operator="between">
      <formula>0.01</formula>
      <formula>0.1</formula>
    </cfRule>
  </conditionalFormatting>
  <conditionalFormatting sqref="F67">
    <cfRule type="cellIs" dxfId="5475" priority="126" operator="greaterThanOrEqual">
      <formula>10</formula>
    </cfRule>
    <cfRule type="cellIs" dxfId="5474" priority="127" operator="between">
      <formula>1</formula>
      <formula>10</formula>
    </cfRule>
    <cfRule type="cellIs" dxfId="5473" priority="128" operator="between">
      <formula>0.1</formula>
      <formula>1</formula>
    </cfRule>
    <cfRule type="cellIs" dxfId="5472" priority="129" operator="between">
      <formula>0.001</formula>
      <formula>0.01</formula>
    </cfRule>
    <cfRule type="cellIs" dxfId="5471" priority="130" operator="between">
      <formula>0</formula>
      <formula>0.001</formula>
    </cfRule>
    <cfRule type="cellIs" dxfId="5470" priority="131" operator="between">
      <formula>0.01</formula>
      <formula>0.1</formula>
    </cfRule>
  </conditionalFormatting>
  <conditionalFormatting sqref="F68">
    <cfRule type="cellIs" dxfId="5469" priority="120" operator="greaterThanOrEqual">
      <formula>10</formula>
    </cfRule>
    <cfRule type="cellIs" dxfId="5468" priority="121" operator="between">
      <formula>1</formula>
      <formula>10</formula>
    </cfRule>
    <cfRule type="cellIs" dxfId="5467" priority="122" operator="between">
      <formula>0.1</formula>
      <formula>1</formula>
    </cfRule>
    <cfRule type="cellIs" dxfId="5466" priority="123" operator="between">
      <formula>0.001</formula>
      <formula>0.01</formula>
    </cfRule>
    <cfRule type="cellIs" dxfId="5465" priority="124" operator="between">
      <formula>0</formula>
      <formula>0.001</formula>
    </cfRule>
    <cfRule type="cellIs" dxfId="5464" priority="125" operator="between">
      <formula>0.01</formula>
      <formula>0.1</formula>
    </cfRule>
  </conditionalFormatting>
  <conditionalFormatting sqref="F70">
    <cfRule type="cellIs" dxfId="5463" priority="114" operator="greaterThanOrEqual">
      <formula>10</formula>
    </cfRule>
    <cfRule type="cellIs" dxfId="5462" priority="115" operator="between">
      <formula>1</formula>
      <formula>10</formula>
    </cfRule>
    <cfRule type="cellIs" dxfId="5461" priority="116" operator="between">
      <formula>0.1</formula>
      <formula>1</formula>
    </cfRule>
    <cfRule type="cellIs" dxfId="5460" priority="117" operator="between">
      <formula>0.001</formula>
      <formula>0.01</formula>
    </cfRule>
    <cfRule type="cellIs" dxfId="5459" priority="118" operator="between">
      <formula>0</formula>
      <formula>0.001</formula>
    </cfRule>
    <cfRule type="cellIs" dxfId="5458" priority="119" operator="between">
      <formula>0.01</formula>
      <formula>0.1</formula>
    </cfRule>
  </conditionalFormatting>
  <conditionalFormatting sqref="F84">
    <cfRule type="cellIs" dxfId="5457" priority="108" operator="greaterThanOrEqual">
      <formula>10</formula>
    </cfRule>
    <cfRule type="cellIs" dxfId="5456" priority="109" operator="between">
      <formula>1</formula>
      <formula>10</formula>
    </cfRule>
    <cfRule type="cellIs" dxfId="5455" priority="110" operator="between">
      <formula>0.1</formula>
      <formula>1</formula>
    </cfRule>
    <cfRule type="cellIs" dxfId="5454" priority="111" operator="between">
      <formula>0.001</formula>
      <formula>0.01</formula>
    </cfRule>
    <cfRule type="cellIs" dxfId="5453" priority="112" operator="between">
      <formula>0</formula>
      <formula>0.001</formula>
    </cfRule>
    <cfRule type="cellIs" dxfId="5452" priority="113" operator="between">
      <formula>0.01</formula>
      <formula>0.1</formula>
    </cfRule>
  </conditionalFormatting>
  <conditionalFormatting sqref="F99">
    <cfRule type="cellIs" dxfId="5451" priority="102" operator="greaterThanOrEqual">
      <formula>10</formula>
    </cfRule>
    <cfRule type="cellIs" dxfId="5450" priority="103" operator="between">
      <formula>1</formula>
      <formula>10</formula>
    </cfRule>
    <cfRule type="cellIs" dxfId="5449" priority="104" operator="between">
      <formula>0.1</formula>
      <formula>1</formula>
    </cfRule>
    <cfRule type="cellIs" dxfId="5448" priority="105" operator="between">
      <formula>0.001</formula>
      <formula>0.01</formula>
    </cfRule>
    <cfRule type="cellIs" dxfId="5447" priority="106" operator="between">
      <formula>0</formula>
      <formula>0.001</formula>
    </cfRule>
    <cfRule type="cellIs" dxfId="5446" priority="107" operator="between">
      <formula>0.01</formula>
      <formula>0.1</formula>
    </cfRule>
  </conditionalFormatting>
  <conditionalFormatting sqref="F100">
    <cfRule type="cellIs" dxfId="5445" priority="96" operator="greaterThanOrEqual">
      <formula>10</formula>
    </cfRule>
    <cfRule type="cellIs" dxfId="5444" priority="97" operator="between">
      <formula>1</formula>
      <formula>10</formula>
    </cfRule>
    <cfRule type="cellIs" dxfId="5443" priority="98" operator="between">
      <formula>0.1</formula>
      <formula>1</formula>
    </cfRule>
    <cfRule type="cellIs" dxfId="5442" priority="99" operator="between">
      <formula>0.001</formula>
      <formula>0.01</formula>
    </cfRule>
    <cfRule type="cellIs" dxfId="5441" priority="100" operator="between">
      <formula>0</formula>
      <formula>0.001</formula>
    </cfRule>
    <cfRule type="cellIs" dxfId="5440" priority="101" operator="between">
      <formula>0.01</formula>
      <formula>0.1</formula>
    </cfRule>
  </conditionalFormatting>
  <conditionalFormatting sqref="F115">
    <cfRule type="cellIs" dxfId="5439" priority="90" operator="greaterThanOrEqual">
      <formula>10</formula>
    </cfRule>
    <cfRule type="cellIs" dxfId="5438" priority="91" operator="between">
      <formula>1</formula>
      <formula>10</formula>
    </cfRule>
    <cfRule type="cellIs" dxfId="5437" priority="92" operator="between">
      <formula>0.1</formula>
      <formula>1</formula>
    </cfRule>
    <cfRule type="cellIs" dxfId="5436" priority="93" operator="between">
      <formula>0.001</formula>
      <formula>0.01</formula>
    </cfRule>
    <cfRule type="cellIs" dxfId="5435" priority="94" operator="between">
      <formula>0</formula>
      <formula>0.001</formula>
    </cfRule>
    <cfRule type="cellIs" dxfId="5434" priority="95" operator="between">
      <formula>0.01</formula>
      <formula>0.1</formula>
    </cfRule>
  </conditionalFormatting>
  <conditionalFormatting sqref="F116">
    <cfRule type="cellIs" dxfId="5433" priority="84" operator="greaterThanOrEqual">
      <formula>10</formula>
    </cfRule>
    <cfRule type="cellIs" dxfId="5432" priority="85" operator="between">
      <formula>1</formula>
      <formula>10</formula>
    </cfRule>
    <cfRule type="cellIs" dxfId="5431" priority="86" operator="between">
      <formula>0.1</formula>
      <formula>1</formula>
    </cfRule>
    <cfRule type="cellIs" dxfId="5430" priority="87" operator="between">
      <formula>0.001</formula>
      <formula>0.01</formula>
    </cfRule>
    <cfRule type="cellIs" dxfId="5429" priority="88" operator="between">
      <formula>0</formula>
      <formula>0.001</formula>
    </cfRule>
    <cfRule type="cellIs" dxfId="5428" priority="89" operator="between">
      <formula>0.01</formula>
      <formula>0.1</formula>
    </cfRule>
  </conditionalFormatting>
  <conditionalFormatting sqref="D49:M49">
    <cfRule type="cellIs" dxfId="5427" priority="80" operator="between">
      <formula>0.001</formula>
      <formula>0.01</formula>
    </cfRule>
    <cfRule type="cellIs" dxfId="5426" priority="81" operator="between">
      <formula>0.1</formula>
      <formula>1</formula>
    </cfRule>
    <cfRule type="cellIs" dxfId="5425" priority="82" operator="greaterThanOrEqual">
      <formula>1</formula>
    </cfRule>
    <cfRule type="cellIs" dxfId="5424" priority="83" operator="between">
      <formula>0.01</formula>
      <formula>0.1</formula>
    </cfRule>
  </conditionalFormatting>
  <conditionalFormatting sqref="H67 J67">
    <cfRule type="cellIs" dxfId="5423" priority="74" operator="greaterThanOrEqual">
      <formula>10</formula>
    </cfRule>
    <cfRule type="cellIs" dxfId="5422" priority="75" operator="between">
      <formula>1</formula>
      <formula>10</formula>
    </cfRule>
    <cfRule type="cellIs" dxfId="5421" priority="76" operator="between">
      <formula>0.1</formula>
      <formula>1</formula>
    </cfRule>
    <cfRule type="cellIs" dxfId="5420" priority="77" operator="between">
      <formula>0.001</formula>
      <formula>0.01</formula>
    </cfRule>
    <cfRule type="cellIs" dxfId="5419" priority="78" operator="between">
      <formula>0</formula>
      <formula>0.001</formula>
    </cfRule>
    <cfRule type="cellIs" dxfId="5418" priority="79" operator="between">
      <formula>0.01</formula>
      <formula>0.1</formula>
    </cfRule>
  </conditionalFormatting>
  <conditionalFormatting sqref="H68 J68">
    <cfRule type="cellIs" dxfId="5417" priority="68" operator="greaterThanOrEqual">
      <formula>10</formula>
    </cfRule>
    <cfRule type="cellIs" dxfId="5416" priority="69" operator="between">
      <formula>1</formula>
      <formula>10</formula>
    </cfRule>
    <cfRule type="cellIs" dxfId="5415" priority="70" operator="between">
      <formula>0.1</formula>
      <formula>1</formula>
    </cfRule>
    <cfRule type="cellIs" dxfId="5414" priority="71" operator="between">
      <formula>0.001</formula>
      <formula>0.01</formula>
    </cfRule>
    <cfRule type="cellIs" dxfId="5413" priority="72" operator="between">
      <formula>0</formula>
      <formula>0.001</formula>
    </cfRule>
    <cfRule type="cellIs" dxfId="5412" priority="73" operator="between">
      <formula>0.01</formula>
      <formula>0.1</formula>
    </cfRule>
  </conditionalFormatting>
  <conditionalFormatting sqref="H70 J70">
    <cfRule type="cellIs" dxfId="5411" priority="62" operator="greaterThanOrEqual">
      <formula>10</formula>
    </cfRule>
    <cfRule type="cellIs" dxfId="5410" priority="63" operator="between">
      <formula>1</formula>
      <formula>10</formula>
    </cfRule>
    <cfRule type="cellIs" dxfId="5409" priority="64" operator="between">
      <formula>0.1</formula>
      <formula>1</formula>
    </cfRule>
    <cfRule type="cellIs" dxfId="5408" priority="65" operator="between">
      <formula>0.001</formula>
      <formula>0.01</formula>
    </cfRule>
    <cfRule type="cellIs" dxfId="5407" priority="66" operator="between">
      <formula>0</formula>
      <formula>0.001</formula>
    </cfRule>
    <cfRule type="cellIs" dxfId="5406" priority="67" operator="between">
      <formula>0.01</formula>
      <formula>0.1</formula>
    </cfRule>
  </conditionalFormatting>
  <conditionalFormatting sqref="H47:K48">
    <cfRule type="cellIs" dxfId="5405" priority="56" operator="greaterThanOrEqual">
      <formula>10</formula>
    </cfRule>
    <cfRule type="cellIs" dxfId="5404" priority="57" operator="between">
      <formula>1</formula>
      <formula>10</formula>
    </cfRule>
    <cfRule type="cellIs" dxfId="5403" priority="58" operator="between">
      <formula>0.1</formula>
      <formula>1</formula>
    </cfRule>
    <cfRule type="cellIs" dxfId="5402" priority="59" operator="between">
      <formula>0.001</formula>
      <formula>0.01</formula>
    </cfRule>
    <cfRule type="cellIs" dxfId="5401" priority="60" operator="between">
      <formula>0</formula>
      <formula>0.001</formula>
    </cfRule>
    <cfRule type="cellIs" dxfId="5400" priority="61" operator="between">
      <formula>0.01</formula>
      <formula>0.1</formula>
    </cfRule>
  </conditionalFormatting>
  <conditionalFormatting sqref="H53:K53">
    <cfRule type="cellIs" dxfId="5399" priority="52" operator="between">
      <formula>0.001</formula>
      <formula>0.01</formula>
    </cfRule>
    <cfRule type="cellIs" dxfId="5398" priority="53" operator="between">
      <formula>0.1</formula>
      <formula>1</formula>
    </cfRule>
    <cfRule type="cellIs" dxfId="5397" priority="54" operator="greaterThanOrEqual">
      <formula>1</formula>
    </cfRule>
    <cfRule type="cellIs" dxfId="5396" priority="55" operator="between">
      <formula>0.01</formula>
      <formula>0.1</formula>
    </cfRule>
  </conditionalFormatting>
  <conditionalFormatting sqref="H51:K52">
    <cfRule type="cellIs" dxfId="5395" priority="46" operator="greaterThanOrEqual">
      <formula>10</formula>
    </cfRule>
    <cfRule type="cellIs" dxfId="5394" priority="47" operator="between">
      <formula>1</formula>
      <formula>10</formula>
    </cfRule>
    <cfRule type="cellIs" dxfId="5393" priority="48" operator="between">
      <formula>0.1</formula>
      <formula>1</formula>
    </cfRule>
    <cfRule type="cellIs" dxfId="5392" priority="49" operator="between">
      <formula>0.001</formula>
      <formula>0.01</formula>
    </cfRule>
    <cfRule type="cellIs" dxfId="5391" priority="50" operator="between">
      <formula>0</formula>
      <formula>0.001</formula>
    </cfRule>
    <cfRule type="cellIs" dxfId="5390" priority="51" operator="between">
      <formula>0.01</formula>
      <formula>0.1</formula>
    </cfRule>
  </conditionalFormatting>
  <conditionalFormatting sqref="H75:K79 H81:K85">
    <cfRule type="cellIs" dxfId="5389" priority="40" operator="greaterThanOrEqual">
      <formula>10</formula>
    </cfRule>
    <cfRule type="cellIs" dxfId="5388" priority="41" operator="between">
      <formula>1</formula>
      <formula>10</formula>
    </cfRule>
    <cfRule type="cellIs" dxfId="5387" priority="42" operator="between">
      <formula>0.1</formula>
      <formula>1</formula>
    </cfRule>
    <cfRule type="cellIs" dxfId="5386" priority="43" operator="between">
      <formula>0.001</formula>
      <formula>0.01</formula>
    </cfRule>
    <cfRule type="cellIs" dxfId="5385" priority="44" operator="between">
      <formula>0</formula>
      <formula>0.001</formula>
    </cfRule>
    <cfRule type="cellIs" dxfId="5384" priority="45" operator="between">
      <formula>0.01</formula>
      <formula>0.1</formula>
    </cfRule>
  </conditionalFormatting>
  <conditionalFormatting sqref="H107:K111 H113:K117">
    <cfRule type="cellIs" dxfId="5383" priority="34" operator="greaterThanOrEqual">
      <formula>10</formula>
    </cfRule>
    <cfRule type="cellIs" dxfId="5382" priority="35" operator="between">
      <formula>1</formula>
      <formula>10</formula>
    </cfRule>
    <cfRule type="cellIs" dxfId="5381" priority="36" operator="between">
      <formula>0.1</formula>
      <formula>1</formula>
    </cfRule>
    <cfRule type="cellIs" dxfId="5380" priority="37" operator="between">
      <formula>0.001</formula>
      <formula>0.01</formula>
    </cfRule>
    <cfRule type="cellIs" dxfId="5379" priority="38" operator="between">
      <formula>0</formula>
      <formula>0.001</formula>
    </cfRule>
    <cfRule type="cellIs" dxfId="5378" priority="39" operator="between">
      <formula>0.01</formula>
      <formula>0.1</formula>
    </cfRule>
  </conditionalFormatting>
  <conditionalFormatting sqref="H99 J99">
    <cfRule type="cellIs" dxfId="5377" priority="28" operator="greaterThanOrEqual">
      <formula>10</formula>
    </cfRule>
    <cfRule type="cellIs" dxfId="5376" priority="29" operator="between">
      <formula>1</formula>
      <formula>10</formula>
    </cfRule>
    <cfRule type="cellIs" dxfId="5375" priority="30" operator="between">
      <formula>0.1</formula>
      <formula>1</formula>
    </cfRule>
    <cfRule type="cellIs" dxfId="5374" priority="31" operator="between">
      <formula>0.001</formula>
      <formula>0.01</formula>
    </cfRule>
    <cfRule type="cellIs" dxfId="5373" priority="32" operator="between">
      <formula>0</formula>
      <formula>0.001</formula>
    </cfRule>
    <cfRule type="cellIs" dxfId="5372" priority="33" operator="between">
      <formula>0.01</formula>
      <formula>0.1</formula>
    </cfRule>
  </conditionalFormatting>
  <conditionalFormatting sqref="H100 J100">
    <cfRule type="cellIs" dxfId="5371" priority="22" operator="greaterThanOrEqual">
      <formula>10</formula>
    </cfRule>
    <cfRule type="cellIs" dxfId="5370" priority="23" operator="between">
      <formula>1</formula>
      <formula>10</formula>
    </cfRule>
    <cfRule type="cellIs" dxfId="5369" priority="24" operator="between">
      <formula>0.1</formula>
      <formula>1</formula>
    </cfRule>
    <cfRule type="cellIs" dxfId="5368" priority="25" operator="between">
      <formula>0.001</formula>
      <formula>0.01</formula>
    </cfRule>
    <cfRule type="cellIs" dxfId="5367" priority="26" operator="between">
      <formula>0</formula>
      <formula>0.001</formula>
    </cfRule>
    <cfRule type="cellIs" dxfId="5366" priority="27" operator="between">
      <formula>0.01</formula>
      <formula>0.1</formula>
    </cfRule>
  </conditionalFormatting>
  <conditionalFormatting sqref="H102 J102">
    <cfRule type="cellIs" dxfId="5365" priority="16" operator="greaterThanOrEqual">
      <formula>10</formula>
    </cfRule>
    <cfRule type="cellIs" dxfId="5364" priority="17" operator="between">
      <formula>1</formula>
      <formula>10</formula>
    </cfRule>
    <cfRule type="cellIs" dxfId="5363" priority="18" operator="between">
      <formula>0.1</formula>
      <formula>1</formula>
    </cfRule>
    <cfRule type="cellIs" dxfId="5362" priority="19" operator="between">
      <formula>0.001</formula>
      <formula>0.01</formula>
    </cfRule>
    <cfRule type="cellIs" dxfId="5361" priority="20" operator="between">
      <formula>0</formula>
      <formula>0.001</formula>
    </cfRule>
    <cfRule type="cellIs" dxfId="5360" priority="21" operator="between">
      <formula>0.01</formula>
      <formula>0.1</formula>
    </cfRule>
  </conditionalFormatting>
  <conditionalFormatting sqref="B70:G70">
    <cfRule type="expression" dxfId="5359" priority="15">
      <formula>$D$28="No"</formula>
    </cfRule>
  </conditionalFormatting>
  <conditionalFormatting sqref="B102:G102">
    <cfRule type="expression" dxfId="5358" priority="2">
      <formula>$D$28="No"</formula>
    </cfRule>
  </conditionalFormatting>
  <conditionalFormatting sqref="A2:M117">
    <cfRule type="expression" dxfId="5357" priority="1">
      <formula>i_FormVal="Granules, fine granules"</formula>
    </cfRule>
  </conditionalFormatting>
  <pageMargins left="0.7" right="0.7" top="0.75" bottom="0.75" header="0.51180555555555496" footer="0.51180555555555496"/>
  <pageSetup paperSize="9" scale="93" firstPageNumber="0" orientation="landscape" horizontalDpi="300" verticalDpi="300" r:id="rId1"/>
  <headerFooter>
    <oddFooter>&amp;C&amp;1#&amp;"Arial"&amp;10&amp;K000000---Internal Use---</oddFooter>
  </headerFooter>
  <rowBreaks count="1" manualBreakCount="1">
    <brk id="51" max="16383" man="1"/>
  </rowBreaks>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7C39B1-EB4A-4E7C-9734-A9323F4A34AE}">
  <sheetPr codeName="Tabelle15"/>
  <dimension ref="A1:W119"/>
  <sheetViews>
    <sheetView workbookViewId="0">
      <selection activeCell="M92" sqref="M92"/>
    </sheetView>
  </sheetViews>
  <sheetFormatPr defaultColWidth="17.7109375" defaultRowHeight="15"/>
  <cols>
    <col min="1" max="1" width="4.42578125" customWidth="1"/>
    <col min="2" max="7" width="17.7109375" customWidth="1"/>
    <col min="8" max="11" width="17.7109375" hidden="1" customWidth="1"/>
    <col min="12" max="12" width="17.7109375" style="603" customWidth="1"/>
    <col min="13" max="16" width="17.7109375" style="362" customWidth="1"/>
    <col min="17" max="17" width="10.85546875" style="362" customWidth="1"/>
    <col min="18" max="18" width="17.7109375" style="362"/>
  </cols>
  <sheetData>
    <row r="1" spans="1:13" ht="21.75" thickBot="1">
      <c r="B1" s="22" t="str">
        <f>"Operator exposure for "&amp;i_ProductName &amp; " spray applications"</f>
        <v>Operator exposure for  spray applications</v>
      </c>
      <c r="F1" s="277" t="str">
        <f>IF(i_FormVal &lt;&gt; "Granules, fine granules","","This sheet is only for spray applications")</f>
        <v/>
      </c>
      <c r="I1" s="67"/>
      <c r="J1" s="215"/>
      <c r="K1" s="113"/>
    </row>
    <row r="2" spans="1:13" ht="15" customHeight="1">
      <c r="A2" s="27"/>
      <c r="B2" s="213"/>
      <c r="C2" s="214"/>
      <c r="D2" s="897">
        <f>i_SubstName1</f>
        <v>0</v>
      </c>
      <c r="E2" s="898"/>
      <c r="F2" s="897">
        <f>i_SubstName2</f>
        <v>0</v>
      </c>
      <c r="G2" s="898"/>
      <c r="H2" s="897">
        <f>i_SubstName3</f>
        <v>0</v>
      </c>
      <c r="I2" s="899"/>
      <c r="J2" s="897">
        <f>i_SubstName4</f>
        <v>0</v>
      </c>
      <c r="K2" s="898"/>
      <c r="L2" s="604"/>
      <c r="M2" s="211"/>
    </row>
    <row r="3" spans="1:13">
      <c r="A3" s="27"/>
      <c r="B3" s="28" t="s">
        <v>400</v>
      </c>
      <c r="C3" s="679"/>
      <c r="D3" s="892">
        <f>i_AppRateAS1</f>
        <v>0</v>
      </c>
      <c r="E3" s="893"/>
      <c r="F3" s="892" cm="1">
        <f t="array" ref="F3">i_AppRateAS2</f>
        <v>0</v>
      </c>
      <c r="G3" s="893"/>
      <c r="H3" s="892" cm="1">
        <f t="array" ref="H3">i_AppRateAS3</f>
        <v>0</v>
      </c>
      <c r="I3" s="900"/>
      <c r="J3" s="892" cm="1">
        <f t="array" ref="J3">i_AppRateAS4</f>
        <v>0</v>
      </c>
      <c r="K3" s="893"/>
      <c r="L3" s="605" t="s">
        <v>347</v>
      </c>
      <c r="M3" s="363" t="s">
        <v>401</v>
      </c>
    </row>
    <row r="4" spans="1:13">
      <c r="A4" s="27"/>
      <c r="B4" s="28" t="s">
        <v>402</v>
      </c>
      <c r="C4" s="679"/>
      <c r="D4" s="892">
        <f>d_AreaTreated*i_AppRateAS1</f>
        <v>0</v>
      </c>
      <c r="E4" s="893"/>
      <c r="F4" s="892">
        <f>d_AreaTreated*i_AppRateAS2</f>
        <v>0</v>
      </c>
      <c r="G4" s="893"/>
      <c r="H4" s="892">
        <f>d_AreaTreated*i_AppRateAS3</f>
        <v>0</v>
      </c>
      <c r="I4" s="900"/>
      <c r="J4" s="892">
        <f>d_AreaTreated*i_AppRateAS4</f>
        <v>0</v>
      </c>
      <c r="K4" s="893"/>
      <c r="L4" s="605" t="s">
        <v>403</v>
      </c>
      <c r="M4" s="363" t="s">
        <v>404</v>
      </c>
    </row>
    <row r="5" spans="1:13">
      <c r="A5" s="27"/>
      <c r="B5" s="28" t="s">
        <v>405</v>
      </c>
      <c r="C5" s="679"/>
      <c r="D5" s="894">
        <f>i_AbsorpProduct1</f>
        <v>0</v>
      </c>
      <c r="E5" s="895"/>
      <c r="F5" s="894">
        <f>i_AbsorpProduct2</f>
        <v>0</v>
      </c>
      <c r="G5" s="895"/>
      <c r="H5" s="894">
        <f>i_AbsorpProduct3</f>
        <v>0</v>
      </c>
      <c r="I5" s="896"/>
      <c r="J5" s="894">
        <f>i_AbsorpProduct4</f>
        <v>0</v>
      </c>
      <c r="K5" s="895"/>
      <c r="L5" s="605"/>
      <c r="M5" s="364" t="s">
        <v>406</v>
      </c>
    </row>
    <row r="6" spans="1:13" ht="15.75" thickBot="1">
      <c r="A6" s="27"/>
      <c r="B6" s="28" t="s">
        <v>355</v>
      </c>
      <c r="C6" s="679"/>
      <c r="D6" s="901">
        <f>i_AbsorpInuse1</f>
        <v>0</v>
      </c>
      <c r="E6" s="902"/>
      <c r="F6" s="901">
        <f>i_AbsorpInuse2</f>
        <v>0</v>
      </c>
      <c r="G6" s="902"/>
      <c r="H6" s="901">
        <f>i_AbsorpInuse3</f>
        <v>0</v>
      </c>
      <c r="I6" s="903"/>
      <c r="J6" s="901">
        <f>i_AbsorpInuse4</f>
        <v>0</v>
      </c>
      <c r="K6" s="902"/>
      <c r="L6" s="605"/>
      <c r="M6" s="364" t="s">
        <v>407</v>
      </c>
    </row>
    <row r="7" spans="1:13" ht="18.75">
      <c r="A7" s="27"/>
      <c r="B7" s="28" t="s">
        <v>311</v>
      </c>
      <c r="C7" s="679"/>
      <c r="D7" s="904">
        <f>i_FormVal</f>
        <v>0</v>
      </c>
      <c r="E7" s="905"/>
      <c r="F7" s="905"/>
      <c r="G7" s="905"/>
      <c r="H7" s="905"/>
      <c r="I7" s="905"/>
      <c r="J7" s="905"/>
      <c r="K7" s="906"/>
      <c r="L7" s="606"/>
      <c r="M7" s="364"/>
    </row>
    <row r="8" spans="1:13" ht="18.75">
      <c r="A8" s="27"/>
      <c r="B8" s="28" t="s">
        <v>321</v>
      </c>
      <c r="C8" s="679"/>
      <c r="D8" s="881">
        <f>'Data entry'!D8</f>
        <v>0</v>
      </c>
      <c r="E8" s="882"/>
      <c r="F8" s="882"/>
      <c r="G8" s="882"/>
      <c r="H8" s="882"/>
      <c r="I8" s="882"/>
      <c r="J8" s="882"/>
      <c r="K8" s="883"/>
      <c r="L8" s="606"/>
      <c r="M8" s="364"/>
    </row>
    <row r="9" spans="1:13" ht="18.75">
      <c r="A9" s="27"/>
      <c r="B9" s="28" t="s">
        <v>331</v>
      </c>
      <c r="C9" s="679"/>
      <c r="D9" s="881">
        <f>i_AppMeth</f>
        <v>0</v>
      </c>
      <c r="E9" s="882"/>
      <c r="F9" s="882"/>
      <c r="G9" s="882"/>
      <c r="H9" s="882"/>
      <c r="I9" s="882"/>
      <c r="J9" s="882"/>
      <c r="K9" s="883"/>
      <c r="L9" s="606"/>
      <c r="M9" s="364"/>
    </row>
    <row r="10" spans="1:13" ht="18.75">
      <c r="A10" s="27"/>
      <c r="B10" s="28" t="s">
        <v>332</v>
      </c>
      <c r="C10" s="679"/>
      <c r="D10" s="881">
        <f>i_AppEquip</f>
        <v>0</v>
      </c>
      <c r="E10" s="882"/>
      <c r="F10" s="882"/>
      <c r="G10" s="882"/>
      <c r="H10" s="882"/>
      <c r="I10" s="882"/>
      <c r="J10" s="882"/>
      <c r="K10" s="883"/>
      <c r="L10" s="606"/>
      <c r="M10" s="364"/>
    </row>
    <row r="11" spans="1:13">
      <c r="A11" s="27"/>
      <c r="B11" s="28" t="s">
        <v>408</v>
      </c>
      <c r="C11" s="679"/>
      <c r="D11" s="881">
        <f>d_AreaTreated</f>
        <v>1</v>
      </c>
      <c r="E11" s="882"/>
      <c r="F11" s="882"/>
      <c r="G11" s="882"/>
      <c r="H11" s="882"/>
      <c r="I11" s="882"/>
      <c r="J11" s="882"/>
      <c r="K11" s="883"/>
      <c r="L11" s="605" t="s">
        <v>409</v>
      </c>
      <c r="M11" s="363" t="s">
        <v>410</v>
      </c>
    </row>
    <row r="12" spans="1:13" ht="19.5" thickBot="1">
      <c r="A12" s="27"/>
      <c r="B12" s="68" t="s">
        <v>411</v>
      </c>
      <c r="C12" s="66"/>
      <c r="D12" s="884" t="str">
        <f>i_Season</f>
        <v>not relevant</v>
      </c>
      <c r="E12" s="885"/>
      <c r="F12" s="885"/>
      <c r="G12" s="885"/>
      <c r="H12" s="885"/>
      <c r="I12" s="885"/>
      <c r="J12" s="885"/>
      <c r="K12" s="886"/>
      <c r="L12" s="607"/>
      <c r="M12" s="365"/>
    </row>
    <row r="13" spans="1:13" ht="31.5" customHeight="1" thickBot="1">
      <c r="A13" s="27"/>
      <c r="B13" s="923" t="str">
        <f>i_IndoorOutdoor&amp;i_FormVal&amp;i_AppMeth&amp;i_AppEquip&amp;IF(AND(i_AppMeth="Downward spraying",i_AppEquip="Vehicle-mounted",Driftreduction=0.5),"-Drift Reduction","")</f>
        <v/>
      </c>
      <c r="C13" s="924"/>
      <c r="D13" s="924"/>
      <c r="E13" s="924"/>
      <c r="F13" s="924"/>
      <c r="G13" s="924"/>
      <c r="H13" s="924"/>
      <c r="I13" s="924"/>
      <c r="J13" s="924"/>
      <c r="K13" s="924"/>
      <c r="L13" s="924"/>
      <c r="M13" s="925"/>
    </row>
    <row r="14" spans="1:13" ht="15" customHeight="1" thickBot="1">
      <c r="A14" s="27"/>
      <c r="B14" s="652"/>
      <c r="C14" s="598"/>
      <c r="D14" s="890">
        <f>i_SubstName1</f>
        <v>0</v>
      </c>
      <c r="E14" s="891"/>
      <c r="F14" s="890">
        <f>i_SubstName2</f>
        <v>0</v>
      </c>
      <c r="G14" s="891"/>
      <c r="H14" s="890">
        <f>i_SubstName3</f>
        <v>0</v>
      </c>
      <c r="I14" s="891"/>
      <c r="J14" s="890">
        <f>i_SubstName4</f>
        <v>0</v>
      </c>
      <c r="K14" s="891"/>
    </row>
    <row r="15" spans="1:13" ht="15" hidden="1" customHeight="1" thickBot="1">
      <c r="A15" s="27"/>
      <c r="B15" s="872" t="s">
        <v>412</v>
      </c>
      <c r="C15" s="931" t="s">
        <v>413</v>
      </c>
      <c r="D15" s="922" t="s">
        <v>414</v>
      </c>
      <c r="E15" s="915"/>
      <c r="F15" s="922" t="s">
        <v>414</v>
      </c>
      <c r="G15" s="915"/>
      <c r="H15" s="922" t="s">
        <v>414</v>
      </c>
      <c r="I15" s="915"/>
      <c r="J15" s="922" t="s">
        <v>414</v>
      </c>
      <c r="K15" s="915"/>
      <c r="L15" s="929" t="s">
        <v>415</v>
      </c>
      <c r="M15" s="913" t="s">
        <v>416</v>
      </c>
    </row>
    <row r="16" spans="1:13" ht="15.75" hidden="1" thickBot="1">
      <c r="A16" s="27"/>
      <c r="B16" s="872"/>
      <c r="C16" s="880"/>
      <c r="D16" s="696" t="s">
        <v>145</v>
      </c>
      <c r="E16" s="697" t="s">
        <v>417</v>
      </c>
      <c r="F16" s="696" t="s">
        <v>145</v>
      </c>
      <c r="G16" s="697" t="s">
        <v>417</v>
      </c>
      <c r="H16" s="696" t="s">
        <v>145</v>
      </c>
      <c r="I16" s="697" t="s">
        <v>417</v>
      </c>
      <c r="J16" s="696" t="s">
        <v>145</v>
      </c>
      <c r="K16" s="697" t="s">
        <v>417</v>
      </c>
      <c r="L16" s="929"/>
      <c r="M16" s="913"/>
    </row>
    <row r="17" spans="1:23" ht="21" hidden="1" customHeight="1" thickBot="1">
      <c r="A17" s="27"/>
      <c r="B17" s="872"/>
      <c r="C17" s="138" t="s">
        <v>418</v>
      </c>
      <c r="D17" s="148" t="e">
        <f>IF(ISBLANK(INDEX(ay_OpExAOEM,MATCH(sys_KeyOperator&amp;"Hands",key_AOEM,0),10)),10^(INDEX(ay_OpExAOEM,MATCH(sys_KeyOperator&amp;"Hands",key_AOEM,0),7)+(LOG(i_AmountAS1)*INDEX(ay_OpExAOEM,MATCH(sys_KeyOperator&amp;"Hands",key_AOEM,0),8))+INDEX(ay_OpExAOEM,MATCH(sys_KeyOperator&amp;"Hands",key_AOEM,0),9)),MAX(INDEX(ay_OpExAOEM,MATCH(sys_KeyOperator&amp;"Hands",key_AOEM,0),10),(INDEX(ay_OpExAOEM,MATCH(sys_KeyOperator&amp;"Hands",key_AOEM,0),10)/1.5)*i_AmountAS1))</f>
        <v>#N/A</v>
      </c>
      <c r="E17" s="149" t="e">
        <f>IF(ISBLANK(INDEX(ay_OpExAOEM,MATCH(sys_KeyOperator&amp;"Hands",key_AOEM,0),14)),10^(INDEX(ay_OpExAOEM,MATCH(sys_KeyOperator&amp;"Hands",key_AOEM,0),11)+(LOG(i_AmountAS1)*INDEX(ay_OpExAOEM,MATCH(sys_KeyOperator&amp;"Hands",key_AOEM,0),12))+INDEX(ay_OpExAOEM,MATCH(sys_KeyOperator&amp;"Hands",key_AOEM,0),13)),MAX(INDEX(ay_OpExAOEM,MATCH(sys_KeyOperator&amp;"Hands",key_AOEM,0),14),(INDEX(ay_OpExAOEM,MATCH(sys_KeyOperator&amp;"Hands",key_AOEM,0),14)/1.5)*i_AmountAS1))</f>
        <v>#N/A</v>
      </c>
      <c r="F17" s="148" t="e">
        <f>IF(ISBLANK(INDEX(ay_OpExAOEM,MATCH(sys_KeyOperator&amp;"Hands",key_AOEM,0),10)),10^(INDEX(ay_OpExAOEM,MATCH(sys_KeyOperator&amp;"Hands",key_AOEM,0),7)+(LOG(i_AmountAS2)*INDEX(ay_OpExAOEM,MATCH(sys_KeyOperator&amp;"Hands",key_AOEM,0),8))+INDEX(ay_OpExAOEM,MATCH(sys_KeyOperator&amp;"Hands",key_AOEM,0),9)),MAX(INDEX(ay_OpExAOEM,MATCH(sys_KeyOperator&amp;"Hands",key_AOEM,0),10),(INDEX(ay_OpExAOEM,MATCH(sys_KeyOperator&amp;"Hands",key_AOEM,0),10)/1.5)*i_AmountAS2))</f>
        <v>#N/A</v>
      </c>
      <c r="G17" s="149" t="e" cm="1">
        <f t="array" ref="G17">IF(ISBLANK(INDEX(ay_OpExAOEM,MATCH(sys_KeyOperator&amp;"Hands",key_AOEM,0),14)),10^(INDEX(ay_OpExAOEM,MATCH(sys_KeyOperator&amp;"Hands",key_AOEM,0),11)+(LOG(i_AmountAS2)*INDEX(ay_OpExAOEM,MATCH(sys_KeyOperator&amp;"Hands",key_AOEM,0),12))+INDEX(ay_OpExAOEM,MATCH(sys_KeyOperator&amp;"Hands",key_AOEM,0),13)),MAX(INDEX(ay_OpExAOEM,MATCH(sys_KeyOperator&amp;"Hands",key_AOEM,0),14),(INDEX(ay_OpExAOEM,MATCH(sys_KeyOperator&amp;"Hands",key_AOEM,0),14)/1.5)*i_AmountAS2))</f>
        <v>#N/A</v>
      </c>
      <c r="H17" s="148" t="e">
        <f>IF(ISBLANK(INDEX(ay_OpExAOEM,MATCH(sys_KeyOperator&amp;"Hands",key_AOEM,0),10)),10^(INDEX(ay_OpExAOEM,MATCH(sys_KeyOperator&amp;"Hands",key_AOEM,0),7)+(LOG(i_AmountAS3)*INDEX(ay_OpExAOEM,MATCH(sys_KeyOperator&amp;"Hands",key_AOEM,0),8))+INDEX(ay_OpExAOEM,MATCH(sys_KeyOperator&amp;"Hands",key_AOEM,0),9)),MAX(INDEX(ay_OpExAOEM,MATCH(sys_KeyOperator&amp;"Hands",key_AOEM,0),10),(INDEX(ay_OpExAOEM,MATCH(sys_KeyOperator&amp;"Hands",key_AOEM,0),10)/1.5)*i_AmountAS3))</f>
        <v>#N/A</v>
      </c>
      <c r="I17" s="149" t="e">
        <f>IF(ISBLANK(INDEX(ay_OpExAOEM,MATCH(sys_KeyOperator&amp;"Hands",key_AOEM,0),14)), 10^(INDEX(ay_OpExAOEM,MATCH(sys_KeyOperator&amp;"Hands",key_AOEM,0),11) +(LOG(i_AmountAS3)*INDEX(ay_OpExAOEM,MATCH(sys_KeyOperator&amp;"Hands",key_AOEM,0),12)) +INDEX(ay_OpExAOEM,MATCH(sys_KeyOperator&amp;"Hands",key_AOEM,0),13)),MAX(INDEX(ay_OpExAOEM,MATCH(sys_KeyOperator&amp;"Hands",key_AOEM,0),14),(INDEX(ay_OpExAOEM,MATCH(sys_KeyOperator&amp;"Hands",key_AOEM,0),14) /1.5)*i_AmountAS3))</f>
        <v>#N/A</v>
      </c>
      <c r="J17" s="148" t="e">
        <f>IF(ISBLANK(INDEX(ay_OpExAOEM,MATCH(sys_KeyOperator&amp;"Hands",key_AOEM,0),10)),10^(INDEX(ay_OpExAOEM,MATCH(sys_KeyOperator&amp;"Hands",key_AOEM,0),7)+(LOG(i_AmountAS4)*INDEX(ay_OpExAOEM,MATCH(sys_KeyOperator&amp;"Hands",key_AOEM,0),8))+INDEX(ay_OpExAOEM,MATCH(sys_KeyOperator&amp;"Hands",key_AOEM,0),9)),MAX(INDEX(ay_OpExAOEM,MATCH(sys_KeyOperator&amp;"Hands",key_AOEM,0),10),(INDEX(ay_OpExAOEM,MATCH(sys_KeyOperator&amp;"Hands",key_AOEM,0),10)/1.5)*i_AmountAS4))</f>
        <v>#N/A</v>
      </c>
      <c r="K17" s="149" t="e">
        <f>IF(ISBLANK(INDEX(ay_OpExAOEM,MATCH(sys_KeyOperator&amp;"Hands",key_AOEM,0),14)),10^(INDEX(ay_OpExAOEM,MATCH(sys_KeyOperator&amp;"Hands",key_AOEM,0),11)+(LOG(i_AmountAS4)*INDEX(ay_OpExAOEM,MATCH(sys_KeyOperator&amp;"Hands",key_AOEM,0),12))+INDEX(ay_OpExAOEM,MATCH(sys_KeyOperator&amp;"Hands",key_AOEM,0),13)),MAX(INDEX(ay_OpExAOEM,MATCH(sys_KeyOperator&amp;"Hands",key_AOEM,0),14),(INDEX(ay_OpExAOEM,MATCH(sys_KeyOperator&amp;"Hands",key_AOEM,0),14)/1.5)*i_AmountAS4))</f>
        <v>#N/A</v>
      </c>
      <c r="L17" s="608" t="s">
        <v>419</v>
      </c>
      <c r="M17" s="366"/>
    </row>
    <row r="18" spans="1:23" ht="21" hidden="1" customHeight="1" thickBot="1">
      <c r="A18" s="27"/>
      <c r="B18" s="872"/>
      <c r="C18" s="138" t="s">
        <v>420</v>
      </c>
      <c r="D18" s="148" t="e">
        <f>IF(ISBLANK(INDEX(ay_OpExAOEM,MATCH(sys_KeyOperator&amp;"Body",key_AOEM,0),10)),10^(INDEX(ay_OpExAOEM,MATCH(sys_KeyOperator&amp;"Body",key_AOEM,0),7)+(LOG(i_AmountAS1)*INDEX(ay_OpExAOEM,MATCH(sys_KeyOperator&amp;"Body",key_AOEM,0),8))+INDEX(ay_OpExAOEM,MATCH(sys_KeyOperator&amp;"Body",key_AOEM,0),9)),MAX(INDEX(ay_OpExAOEM,MATCH(sys_KeyOperator&amp;"Body",key_AOEM,0),10),(INDEX(ay_OpExAOEM,MATCH(sys_KeyOperator&amp;"Body",key_AOEM,0),10)/1.5)*i_AmountAS1))</f>
        <v>#N/A</v>
      </c>
      <c r="E18" s="149" t="e">
        <f>IF(ISBLANK(INDEX(ay_OpExAOEM,MATCH(sys_KeyOperator&amp;"Body",key_AOEM,0),14)), 10^(INDEX(ay_OpExAOEM,MATCH(sys_KeyOperator&amp;"Body",key_AOEM,0),11) +(LOG(i_AmountAS1)*INDEX(ay_OpExAOEM,MATCH(sys_KeyOperator&amp;"Body",key_AOEM,0),12)) +INDEX(ay_OpExAOEM,MATCH(sys_KeyOperator&amp;"Body",key_AOEM,0),13)),MAX(INDEX(ay_OpExAOEM,MATCH(sys_KeyOperator&amp;"Body",key_AOEM,0),14),(INDEX(ay_OpExAOEM,MATCH(sys_KeyOperator&amp;"Body",key_AOEM,0),14) /1.5)*i_AmountAS1))</f>
        <v>#N/A</v>
      </c>
      <c r="F18" s="148" t="e" cm="1">
        <f t="array" ref="F18">IF(ISBLANK(INDEX(ay_OpExAOEM,MATCH(sys_KeyOperator&amp;"Body",key_AOEM,0),10)),10^(INDEX(ay_OpExAOEM,MATCH(sys_KeyOperator&amp;"Body",key_AOEM,0),7)+(LOG(i_AmountAS2)*INDEX(ay_OpExAOEM,MATCH(sys_KeyOperator&amp;"Body",key_AOEM,0),8))+INDEX(ay_OpExAOEM,MATCH(sys_KeyOperator&amp;"Body",key_AOEM,0),9)),MAX(INDEX(ay_OpExAOEM,MATCH(sys_KeyOperator&amp;"Body",key_AOEM,0),10),(INDEX(ay_OpExAOEM,MATCH(sys_KeyOperator&amp;"Body",key_AOEM,0),10)/1.5)*i_AmountAS2))</f>
        <v>#N/A</v>
      </c>
      <c r="G18" s="149" t="e" cm="1">
        <f t="array" ref="G18">IF(ISBLANK(INDEX(ay_OpExAOEM,MATCH(sys_KeyOperator&amp;"Body",key_AOEM,0),14)), 10^(INDEX(ay_OpExAOEM,MATCH(sys_KeyOperator&amp;"Body",key_AOEM,0),11) +(LOG(i_AmountAS2)*INDEX(ay_OpExAOEM,MATCH(sys_KeyOperator&amp;"Body",key_AOEM,0),12)) +INDEX(ay_OpExAOEM,MATCH(sys_KeyOperator&amp;"Body",key_AOEM,0),13)),MAX(INDEX(ay_OpExAOEM,MATCH(sys_KeyOperator&amp;"Body",key_AOEM,0),14),(INDEX(ay_OpExAOEM,MATCH(sys_KeyOperator&amp;"Body",key_AOEM,0),14) /1.5)*i_AmountAS2))</f>
        <v>#N/A</v>
      </c>
      <c r="H18" s="148" t="e">
        <f>IF(ISBLANK(INDEX(ay_OpExAOEM,MATCH(sys_KeyOperator&amp;"Body",key_AOEM,0),10)),10^(INDEX(ay_OpExAOEM,MATCH(sys_KeyOperator&amp;"Body",key_AOEM,0),7)+(LOG(i_AmountAS3)*INDEX(ay_OpExAOEM,MATCH(sys_KeyOperator&amp;"Body",key_AOEM,0),8))+INDEX(ay_OpExAOEM,MATCH(sys_KeyOperator&amp;"Body",key_AOEM,0),9)),MAX(INDEX(ay_OpExAOEM,MATCH(sys_KeyOperator&amp;"Body",key_AOEM,0),10),(INDEX(ay_OpExAOEM,MATCH(sys_KeyOperator&amp;"Body",key_AOEM,0),10)/1.5)*i_AmountAS3))</f>
        <v>#N/A</v>
      </c>
      <c r="I18" s="149" t="e">
        <f>IF(ISBLANK(INDEX(ay_OpExAOEM,MATCH(sys_KeyOperator&amp;"Body",key_AOEM,0),14)), 10^(INDEX(ay_OpExAOEM,MATCH(sys_KeyOperator&amp;"Body",key_AOEM,0),11) +(LOG(i_AmountAS3)*INDEX(ay_OpExAOEM,MATCH(sys_KeyOperator&amp;"Body",key_AOEM,0),12)) +INDEX(ay_OpExAOEM,MATCH(sys_KeyOperator&amp;"Body",key_AOEM,0),13)),MAX(INDEX(ay_OpExAOEM,MATCH(sys_KeyOperator&amp;"Body",key_AOEM,0),14),(INDEX(ay_OpExAOEM,MATCH(sys_KeyOperator&amp;"Body",key_AOEM,0),14) /1.5)*i_AmountAS3))</f>
        <v>#N/A</v>
      </c>
      <c r="J18" s="148" t="e">
        <f>IF(ISBLANK(INDEX(ay_OpExAOEM,MATCH(sys_KeyOperator&amp;"Body",key_AOEM,0),10)),10^(INDEX(ay_OpExAOEM,MATCH(sys_KeyOperator&amp;"Body",key_AOEM,0),7)+(LOG(i_AmountAS4)*INDEX(ay_OpExAOEM,MATCH(sys_KeyOperator&amp;"Body",key_AOEM,0),8))+INDEX(ay_OpExAOEM,MATCH(sys_KeyOperator&amp;"Body",key_AOEM,0),9)),MAX(INDEX(ay_OpExAOEM,MATCH(sys_KeyOperator&amp;"Body",key_AOEM,0),10),(INDEX(ay_OpExAOEM,MATCH(sys_KeyOperator&amp;"Body",key_AOEM,0),10)/1.5)*i_AmountAS4))</f>
        <v>#N/A</v>
      </c>
      <c r="K18" s="149" t="e">
        <f>IF(ISBLANK(INDEX(ay_OpExAOEM,MATCH(sys_KeyOperator&amp;"Body",key_AOEM,0),14)), 10^(INDEX(ay_OpExAOEM,MATCH(sys_KeyOperator&amp;"Body",key_AOEM,0),11) +(LOG(i_AmountAS4)*INDEX(ay_OpExAOEM,MATCH(sys_KeyOperator&amp;"Body",key_AOEM,0),12)) +INDEX(ay_OpExAOEM,MATCH(sys_KeyOperator&amp;"Body",key_AOEM,0),13)),MAX(INDEX(ay_OpExAOEM,MATCH(sys_KeyOperator&amp;"Body",key_AOEM,0),14),(INDEX(ay_OpExAOEM,MATCH(sys_KeyOperator&amp;"Body",key_AOEM,0),14) /1.5)*i_AmountAS4))</f>
        <v>#N/A</v>
      </c>
      <c r="L18" s="608" t="s">
        <v>419</v>
      </c>
      <c r="M18" s="366"/>
    </row>
    <row r="19" spans="1:23" ht="21" hidden="1" customHeight="1" thickBot="1">
      <c r="A19" s="27"/>
      <c r="B19" s="872"/>
      <c r="C19" s="139" t="s">
        <v>104</v>
      </c>
      <c r="D19" s="148" t="e">
        <f>IF(ISBLANK(INDEX(ay_OpExAOEM,MATCH(sys_KeyOperator&amp;"Head",key_AOEM,0),10)),10^(INDEX(ay_OpExAOEM,MATCH(sys_KeyOperator&amp;"Head",key_AOEM,0),7)+(LOG(i_AmountAS1)*INDEX(ay_OpExAOEM,MATCH(sys_KeyOperator&amp;"Head",key_AOEM,0),8))+INDEX(ay_OpExAOEM,MATCH(sys_KeyOperator&amp;"Head",key_AOEM,0),9)),MAX(INDEX(ay_OpExAOEM,MATCH(sys_KeyOperator&amp;"Head",key_AOEM,0),10),(INDEX(ay_OpExAOEM,MATCH(sys_KeyOperator&amp;"Head",key_AOEM,0),10)/1.5)*i_AmountAS1))</f>
        <v>#N/A</v>
      </c>
      <c r="E19" s="149" t="e">
        <f>IF(ISBLANK(INDEX(ay_OpExAOEM,MATCH(sys_KeyOperator&amp;"Head",key_AOEM,0),14)), 10^(INDEX(ay_OpExAOEM,MATCH(sys_KeyOperator&amp;"Head",key_AOEM,0),11) +(LOG(i_AmountAS1)*INDEX(ay_OpExAOEM,MATCH(sys_KeyOperator&amp;"Head",key_AOEM,0),12)) +INDEX(ay_OpExAOEM,MATCH(sys_KeyOperator&amp;"Head",key_AOEM,0),13)),MAX(INDEX(ay_OpExAOEM,MATCH(sys_KeyOperator&amp;"Head",key_AOEM,0),14),(INDEX(ay_OpExAOEM,MATCH(sys_KeyOperator&amp;"Head",key_AOEM,0),14) /1.5)*i_AmountAS1))</f>
        <v>#N/A</v>
      </c>
      <c r="F19" s="148" t="e">
        <f>IF(ISBLANK(INDEX(ay_OpExAOEM,MATCH(sys_KeyOperator&amp;"Head",key_AOEM,0),10)),10^(INDEX(ay_OpExAOEM,MATCH(sys_KeyOperator&amp;"Head",key_AOEM,0),7)+(LOG(i_AmountAS2)*INDEX(ay_OpExAOEM,MATCH(sys_KeyOperator&amp;"Head",key_AOEM,0),8))+INDEX(ay_OpExAOEM,MATCH(sys_KeyOperator&amp;"Head",key_AOEM,0),9)),MAX(INDEX(ay_OpExAOEM,MATCH(sys_KeyOperator&amp;"Head",key_AOEM,0),10),(INDEX(ay_OpExAOEM,MATCH(sys_KeyOperator&amp;"Head",key_AOEM,0),10)/1.5)*i_AmountAS2))</f>
        <v>#N/A</v>
      </c>
      <c r="G19" s="149" t="e">
        <f>IF(ISBLANK(INDEX(ay_OpExAOEM,MATCH(sys_KeyOperator&amp;"Head",key_AOEM,0),14)), 10^(INDEX(ay_OpExAOEM,MATCH(sys_KeyOperator&amp;"Head",key_AOEM,0),11) +(LOG(i_AmountAS2)*INDEX(ay_OpExAOEM,MATCH(sys_KeyOperator&amp;"Head",key_AOEM,0),12)) +INDEX(ay_OpExAOEM,MATCH(sys_KeyOperator&amp;"Head",key_AOEM,0),13)),MAX(INDEX(ay_OpExAOEM,MATCH(sys_KeyOperator&amp;"Head",key_AOEM,0),14),(INDEX(ay_OpExAOEM,MATCH(sys_KeyOperator&amp;"Head",key_AOEM,0),14) /1.5)*i_AmountAS2))</f>
        <v>#N/A</v>
      </c>
      <c r="H19" s="148" t="e">
        <f>IF(ISBLANK(INDEX(ay_OpExAOEM,MATCH(sys_KeyOperator&amp;"Head",key_AOEM,0),10)),10^(INDEX(ay_OpExAOEM,MATCH(sys_KeyOperator&amp;"Head",key_AOEM,0),7)+(LOG(i_AmountAS3)*INDEX(ay_OpExAOEM,MATCH(sys_KeyOperator&amp;"Head",key_AOEM,0),8))+INDEX(ay_OpExAOEM,MATCH(sys_KeyOperator&amp;"Head",key_AOEM,0),9)),MAX(INDEX(ay_OpExAOEM,MATCH(sys_KeyOperator&amp;"Head",key_AOEM,0),10),(INDEX(ay_OpExAOEM,MATCH(sys_KeyOperator&amp;"Head",key_AOEM,0),10)/1.5)*i_AmountAS3))</f>
        <v>#N/A</v>
      </c>
      <c r="I19" s="149" t="e">
        <f>IF(ISBLANK(INDEX(ay_OpExAOEM,MATCH(sys_KeyOperator&amp;"Head",key_AOEM,0),14)), 10^(INDEX(ay_OpExAOEM,MATCH(sys_KeyOperator&amp;"Head",key_AOEM,0),11) +(LOG(i_AmountAS3)*INDEX(ay_OpExAOEM,MATCH(sys_KeyOperator&amp;"Head",key_AOEM,0),12)) +INDEX(ay_OpExAOEM,MATCH(sys_KeyOperator&amp;"Head",key_AOEM,0),13)),MAX(INDEX(ay_OpExAOEM,MATCH(sys_KeyOperator&amp;"Head",key_AOEM,0),14),(INDEX(ay_OpExAOEM,MATCH(sys_KeyOperator&amp;"Head",key_AOEM,0),14) /1.5)*i_AmountAS3))</f>
        <v>#N/A</v>
      </c>
      <c r="J19" s="148" t="e">
        <f>IF(ISBLANK(INDEX(ay_OpExAOEM,MATCH(sys_KeyOperator&amp;"Head",key_AOEM,0),10)),10^(INDEX(ay_OpExAOEM,MATCH(sys_KeyOperator&amp;"Head",key_AOEM,0),7)+(LOG(i_AmountAS4)*INDEX(ay_OpExAOEM,MATCH(sys_KeyOperator&amp;"Head",key_AOEM,0),8))+INDEX(ay_OpExAOEM,MATCH(sys_KeyOperator&amp;"Head",key_AOEM,0),9)),MAX(INDEX(ay_OpExAOEM,MATCH(sys_KeyOperator&amp;"Head",key_AOEM,0),10),(INDEX(ay_OpExAOEM,MATCH(sys_KeyOperator&amp;"Head",key_AOEM,0),10)/1.5)*i_AmountAS4))</f>
        <v>#N/A</v>
      </c>
      <c r="K19" s="149" t="e">
        <f>IF(ISBLANK(INDEX(ay_OpExAOEM,MATCH(sys_KeyOperator&amp;"Head",key_AOEM,0),14)), 10^(INDEX(ay_OpExAOEM,MATCH(sys_KeyOperator&amp;"Head",key_AOEM,0),11) +(LOG(i_AmountAS4)*INDEX(ay_OpExAOEM,MATCH(sys_KeyOperator&amp;"Head",key_AOEM,0),12)) +INDEX(ay_OpExAOEM,MATCH(sys_KeyOperator&amp;"Head",key_AOEM,0),13)),MAX(INDEX(ay_OpExAOEM,MATCH(sys_KeyOperator&amp;"Head",key_AOEM,0),14),(INDEX(ay_OpExAOEM,MATCH(sys_KeyOperator&amp;"Head",key_AOEM,0),14) /1.5)*i_AmountAS4))</f>
        <v>#N/A</v>
      </c>
      <c r="L19" s="608" t="s">
        <v>419</v>
      </c>
      <c r="M19" s="367"/>
    </row>
    <row r="20" spans="1:23" ht="21" hidden="1" customHeight="1" thickBot="1">
      <c r="A20" s="27"/>
      <c r="B20" s="872"/>
      <c r="C20" s="140" t="s">
        <v>88</v>
      </c>
      <c r="D20" s="148" t="e">
        <f>IF(ISBLANK(INDEX(ay_OpExAOEM,MATCH(sys_KeyOperator&amp;"Protected hands",key_AOEM,0),10)),10^(INDEX(ay_OpExAOEM,MATCH(sys_KeyOperator&amp;"Protected hands",key_AOEM,0),7)+(LOG(i_AmountAS1)*INDEX(ay_OpExAOEM,MATCH(sys_KeyOperator&amp;"Protected hands",key_AOEM,0),8))+INDEX(ay_OpExAOEM,MATCH(sys_KeyOperator&amp;"Protected hands",key_AOEM,0),9)),MAX(INDEX(ay_OpExAOEM,MATCH(sys_KeyOperator&amp;"Protected hands",key_AOEM,0),10),(INDEX(ay_OpExAOEM,MATCH(sys_KeyOperator&amp;"Protected hands",key_AOEM,0),10)/1.5)*i_AmountAS1))</f>
        <v>#N/A</v>
      </c>
      <c r="E20" s="149" t="e">
        <f>IF(ISBLANK(INDEX(ay_OpExAOEM,MATCH(sys_KeyOperator&amp;"Protected Hands",key_AOEM,0),14)), 10^(INDEX(ay_OpExAOEM,MATCH(sys_KeyOperator&amp;"Protected Hands",key_AOEM,0),11) +(LOG(i_AmountAS1)*INDEX(ay_OpExAOEM,MATCH(sys_KeyOperator&amp;"Protected Hands",key_AOEM,0),12)) +INDEX(ay_OpExAOEM,MATCH(sys_KeyOperator&amp;"Protected Hands",key_AOEM,0),13)),MAX(INDEX(ay_OpExAOEM,MATCH(sys_KeyOperator&amp;"Protected Hands",key_AOEM,0),14),(INDEX(ay_OpExAOEM,MATCH(sys_KeyOperator&amp;"Protected Hands",key_AOEM,0),14) /1.5)*i_AmountAS1))</f>
        <v>#N/A</v>
      </c>
      <c r="F20" s="148" t="e" cm="1">
        <f t="array" ref="F20">IF(ISBLANK(INDEX(ay_OpExAOEM,MATCH(sys_KeyOperator&amp;"Protected hands",key_AOEM,0),10)),10^(INDEX(ay_OpExAOEM,MATCH(sys_KeyOperator&amp;"Protected hands",key_AOEM,0),7)+(LOG(i_AmountAS2)*INDEX(ay_OpExAOEM,MATCH(sys_KeyOperator&amp;"Protected hands",key_AOEM,0),8))+INDEX(ay_OpExAOEM,MATCH(sys_KeyOperator&amp;"Protected hands",key_AOEM,0),9)),MAX(INDEX(ay_OpExAOEM,MATCH(sys_KeyOperator&amp;"Protected hands",key_AOEM,0),10),(INDEX(ay_OpExAOEM,MATCH(sys_KeyOperator&amp;"Protected hands",key_AOEM,0),10)/1.5)*i_AmountAS2))</f>
        <v>#N/A</v>
      </c>
      <c r="G20" s="149" t="e" cm="1">
        <f t="array" ref="G20">IF(ISBLANK(INDEX(ay_OpExAOEM,MATCH(sys_KeyOperator&amp;"Protected Hands",key_AOEM,0),14)), 10^(INDEX(ay_OpExAOEM,MATCH(sys_KeyOperator&amp;"Protected Hands",key_AOEM,0),11) +(LOG(i_AmountAS2)*INDEX(ay_OpExAOEM,MATCH(sys_KeyOperator&amp;"Protected Hands",key_AOEM,0),12)) +INDEX(ay_OpExAOEM,MATCH(sys_KeyOperator&amp;"Protected Hands",key_AOEM,0),13)),MAX(INDEX(ay_OpExAOEM,MATCH(sys_KeyOperator&amp;"Protected Hands",key_AOEM,0),14),(INDEX(ay_OpExAOEM,MATCH(sys_KeyOperator&amp;"Protected Hands",key_AOEM,0),14) /1.5)*i_AmountAS2))</f>
        <v>#N/A</v>
      </c>
      <c r="H20" s="148" t="e">
        <f>IF(ISBLANK(INDEX(ay_OpExAOEM,MATCH(sys_KeyOperator&amp;"Protected hands",key_AOEM,0),10)),10^(INDEX(ay_OpExAOEM,MATCH(sys_KeyOperator&amp;"Protected hands",key_AOEM,0),7)+(LOG(i_AmountAS3)*INDEX(ay_OpExAOEM,MATCH(sys_KeyOperator&amp;"Protected hands",key_AOEM,0),8))+INDEX(ay_OpExAOEM,MATCH(sys_KeyOperator&amp;"Protected hands",key_AOEM,0),9)),MAX(INDEX(ay_OpExAOEM,MATCH(sys_KeyOperator&amp;"Protected hands",key_AOEM,0),10),(INDEX(ay_OpExAOEM,MATCH(sys_KeyOperator&amp;"Protected hands",key_AOEM,0),10)/1.5)*i_AmountAS3))</f>
        <v>#N/A</v>
      </c>
      <c r="I20" s="149" t="e">
        <f>IF(ISBLANK(INDEX(ay_OpExAOEM,MATCH(sys_KeyOperator&amp;"Protected Hands",key_AOEM,0),14)), 10^(INDEX(ay_OpExAOEM,MATCH(sys_KeyOperator&amp;"Protected Hands",key_AOEM,0),11) +(LOG(i_AmountAS3)*INDEX(ay_OpExAOEM,MATCH(sys_KeyOperator&amp;"Protected Hands",key_AOEM,0),12)) +INDEX(ay_OpExAOEM,MATCH(sys_KeyOperator&amp;"Protected Hands",key_AOEM,0),13)),MAX(INDEX(ay_OpExAOEM,MATCH(sys_KeyOperator&amp;"Protected Hands",key_AOEM,0),14),(INDEX(ay_OpExAOEM,MATCH(sys_KeyOperator&amp;"Protected Hands",key_AOEM,0),14) /1.5)*i_AmountAS3))</f>
        <v>#N/A</v>
      </c>
      <c r="J20" s="148" t="e">
        <f>IF(ISBLANK(INDEX(ay_OpExAOEM,MATCH(sys_KeyOperator&amp;"Protected hands",key_AOEM,0),10)),10^(INDEX(ay_OpExAOEM,MATCH(sys_KeyOperator&amp;"Protected hands",key_AOEM,0),7)+(LOG(i_AmountAS4)*INDEX(ay_OpExAOEM,MATCH(sys_KeyOperator&amp;"Protected hands",key_AOEM,0),8))+INDEX(ay_OpExAOEM,MATCH(sys_KeyOperator&amp;"Protected hands",key_AOEM,0),9)),MAX(INDEX(ay_OpExAOEM,MATCH(sys_KeyOperator&amp;"Protected hands",key_AOEM,0),10),(INDEX(ay_OpExAOEM,MATCH(sys_KeyOperator&amp;"Protected hands",key_AOEM,0),10)/1.5)*i_AmountAS4))</f>
        <v>#N/A</v>
      </c>
      <c r="K20" s="149" t="e">
        <f>IF(ISBLANK(INDEX(ay_OpExAOEM,MATCH(sys_KeyOperator&amp;"Protected Hands",key_AOEM,0),14)), 10^(INDEX(ay_OpExAOEM,MATCH(sys_KeyOperator&amp;"Protected Hands",key_AOEM,0),11) +(LOG(i_AmountAS4)*INDEX(ay_OpExAOEM,MATCH(sys_KeyOperator&amp;"Protected Hands",key_AOEM,0),12)) +INDEX(ay_OpExAOEM,MATCH(sys_KeyOperator&amp;"Protected Hands",key_AOEM,0),13)),MAX(INDEX(ay_OpExAOEM,MATCH(sys_KeyOperator&amp;"Protected Hands",key_AOEM,0),14),(INDEX(ay_OpExAOEM,MATCH(sys_KeyOperator&amp;"Protected Hands",key_AOEM,0),14) /1.5)*i_AmountAS4))</f>
        <v>#N/A</v>
      </c>
      <c r="L20" s="608" t="s">
        <v>419</v>
      </c>
      <c r="M20" s="367"/>
    </row>
    <row r="21" spans="1:23" ht="21" hidden="1" customHeight="1" thickBot="1">
      <c r="A21" s="27"/>
      <c r="B21" s="872"/>
      <c r="C21" s="140" t="s">
        <v>99</v>
      </c>
      <c r="D21" s="148" t="e">
        <f>IF(ISBLANK(INDEX(ay_OpExAOEM,MATCH(sys_KeyOperator&amp;"Protected Body",key_AOEM,0),10)),10^(INDEX(ay_OpExAOEM,MATCH(sys_KeyOperator&amp;"Protected Body",key_AOEM,0),7)+(LOG(i_AmountAS1)*INDEX(ay_OpExAOEM,MATCH(sys_KeyOperator&amp;"Protected Body",key_AOEM,0),8))+INDEX(ay_OpExAOEM,MATCH(sys_KeyOperator&amp;"Protected Body",key_AOEM,0),9)),MAX(INDEX(ay_OpExAOEM,MATCH(sys_KeyOperator&amp;"Protected Body",key_AOEM,0),10),(INDEX(ay_OpExAOEM,MATCH(sys_KeyOperator&amp;"Protected Body",key_AOEM,0),10)/1.5)*i_AmountAS1))</f>
        <v>#N/A</v>
      </c>
      <c r="E21" s="149" t="e">
        <f>IF(ISBLANK(INDEX(ay_OpExAOEM,MATCH(sys_KeyOperator&amp;"Protected Body",key_AOEM,0),14)), 10^(INDEX(ay_OpExAOEM,MATCH(sys_KeyOperator&amp;"Protected Body",key_AOEM,0),11) +(LOG(i_AmountAS1)*INDEX(ay_OpExAOEM,MATCH(sys_KeyOperator&amp;"Protected Body",key_AOEM,0),12)) +INDEX(ay_OpExAOEM,MATCH(sys_KeyOperator&amp;"Protected Body",key_AOEM,0),13)),MAX(INDEX(ay_OpExAOEM,MATCH(sys_KeyOperator&amp;"Protected Body",key_AOEM,0),14),(INDEX(ay_OpExAOEM,MATCH(sys_KeyOperator&amp;"Protected Body",key_AOEM,0),14) /1.5)*i_AmountAS1))</f>
        <v>#N/A</v>
      </c>
      <c r="F21" s="148" t="e" cm="1">
        <f t="array" ref="F21">IF(ISBLANK(INDEX(ay_OpExAOEM,MATCH(sys_KeyOperator&amp;"Protected Body",key_AOEM,0),10)),10^(INDEX(ay_OpExAOEM,MATCH(sys_KeyOperator&amp;"Protected Body",key_AOEM,0),7)+(LOG(i_AmountAS2)*INDEX(ay_OpExAOEM,MATCH(sys_KeyOperator&amp;"Protected Body",key_AOEM,0),8))+INDEX(ay_OpExAOEM,MATCH(sys_KeyOperator&amp;"Protected Body",key_AOEM,0),9)),MAX(INDEX(ay_OpExAOEM,MATCH(sys_KeyOperator&amp;"Protected Body",key_AOEM,0),10),(INDEX(ay_OpExAOEM,MATCH(sys_KeyOperator&amp;"Protected Body",key_AOEM,0),10)/1.5)*i_AmountAS2))</f>
        <v>#N/A</v>
      </c>
      <c r="G21" s="149" t="e" cm="1">
        <f t="array" ref="G21">IF(ISBLANK(INDEX(ay_OpExAOEM,MATCH(sys_KeyOperator&amp;"Protected Body",key_AOEM,0),14)), 10^(INDEX(ay_OpExAOEM,MATCH(sys_KeyOperator&amp;"Protected Body",key_AOEM,0),11) +(LOG(i_AmountAS2)*INDEX(ay_OpExAOEM,MATCH(sys_KeyOperator&amp;"Protected Body",key_AOEM,0),12)) +INDEX(ay_OpExAOEM,MATCH(sys_KeyOperator&amp;"Protected Body",key_AOEM,0),13)),MAX(INDEX(ay_OpExAOEM,MATCH(sys_KeyOperator&amp;"Protected Body",key_AOEM,0),14),(INDEX(ay_OpExAOEM,MATCH(sys_KeyOperator&amp;"Protected Body",key_AOEM,0),14) /1.5)*i_AmountAS2))</f>
        <v>#N/A</v>
      </c>
      <c r="H21" s="148" t="e">
        <f>IF(ISBLANK(INDEX(ay_OpExAOEM,MATCH(sys_KeyOperator&amp;"Protected Body",key_AOEM,0),10)),10^(INDEX(ay_OpExAOEM,MATCH(sys_KeyOperator&amp;"Protected Body",key_AOEM,0),7)+(LOG(i_AmountAS3)*INDEX(ay_OpExAOEM,MATCH(sys_KeyOperator&amp;"Protected Body",key_AOEM,0),8))+INDEX(ay_OpExAOEM,MATCH(sys_KeyOperator&amp;"Protected Body",key_AOEM,0),9)),MAX(INDEX(ay_OpExAOEM,MATCH(sys_KeyOperator&amp;"Protected Body",key_AOEM,0),10),(INDEX(ay_OpExAOEM,MATCH(sys_KeyOperator&amp;"Protected Body",key_AOEM,0),10)/1.5)*i_AmountAS3))</f>
        <v>#N/A</v>
      </c>
      <c r="I21" s="149" t="e">
        <f>IF(ISBLANK(INDEX(ay_OpExAOEM,MATCH(sys_KeyOperator&amp;"Protected Body",key_AOEM,0),14)), 10^(INDEX(ay_OpExAOEM,MATCH(sys_KeyOperator&amp;"Protected Body",key_AOEM,0),11) +(LOG(i_AmountAS3)*INDEX(ay_OpExAOEM,MATCH(sys_KeyOperator&amp;"Protected Body",key_AOEM,0),12)) +INDEX(ay_OpExAOEM,MATCH(sys_KeyOperator&amp;"Protected Body",key_AOEM,0),13)),MAX(INDEX(ay_OpExAOEM,MATCH(sys_KeyOperator&amp;"Protected Body",key_AOEM,0),14),(INDEX(ay_OpExAOEM,MATCH(sys_KeyOperator&amp;"Protected Body",key_AOEM,0),14) /1.5)*i_AmountAS3))</f>
        <v>#N/A</v>
      </c>
      <c r="J21" s="148" t="e">
        <f>IF(ISBLANK(INDEX(ay_OpExAOEM,MATCH(sys_KeyOperator&amp;"Protected Body",key_AOEM,0),10)),10^(INDEX(ay_OpExAOEM,MATCH(sys_KeyOperator&amp;"Protected Body",key_AOEM,0),7)+(LOG(i_AmountAS4)*INDEX(ay_OpExAOEM,MATCH(sys_KeyOperator&amp;"Protected Body",key_AOEM,0),8))+INDEX(ay_OpExAOEM,MATCH(sys_KeyOperator&amp;"Protected Body",key_AOEM,0),9)),MAX(INDEX(ay_OpExAOEM,MATCH(sys_KeyOperator&amp;"Protected Body",key_AOEM,0),10),(INDEX(ay_OpExAOEM,MATCH(sys_KeyOperator&amp;"Protected Body",key_AOEM,0),10)/1.5)*i_AmountAS4))</f>
        <v>#N/A</v>
      </c>
      <c r="K21" s="149" t="e">
        <f>IF(ISBLANK(INDEX(ay_OpExAOEM,MATCH(sys_KeyOperator&amp;"Protected Body",key_AOEM,0),14)), 10^(INDEX(ay_OpExAOEM,MATCH(sys_KeyOperator&amp;"Protected Body",key_AOEM,0),11) +(LOG(i_AmountAS4)*INDEX(ay_OpExAOEM,MATCH(sys_KeyOperator&amp;"Protected Body",key_AOEM,0),12)) +INDEX(ay_OpExAOEM,MATCH(sys_KeyOperator&amp;"Protected Body",key_AOEM,0),13)),MAX(INDEX(ay_OpExAOEM,MATCH(sys_KeyOperator&amp;"Protected Body",key_AOEM,0),14),(INDEX(ay_OpExAOEM,MATCH(sys_KeyOperator&amp;"Protected Body",key_AOEM,0),14) /1.5)*i_AmountAS4))</f>
        <v>#N/A</v>
      </c>
      <c r="L21" s="608" t="s">
        <v>419</v>
      </c>
      <c r="M21" s="367"/>
    </row>
    <row r="22" spans="1:23" ht="21" hidden="1" customHeight="1" thickBot="1">
      <c r="A22" s="27"/>
      <c r="B22" s="872"/>
      <c r="C22" s="140" t="s">
        <v>454</v>
      </c>
      <c r="D22" s="148" t="e">
        <f>IF(ISBLANK(INDEX(ay_OpExAOEM,MATCH(sys_KeyOperator&amp;"Head",key_AOEM,0),10)),10^(INDEX(ay_OpExAOEM,MATCH(sys_KeyOperator&amp;"Head",key_AOEM,0),7)+(LOG(i_AmountAS1)*INDEX(ay_OpExAOEM,MATCH(sys_KeyOperator&amp;"Head",key_AOEM,0),8))+INDEX(ay_OpExAOEM,MATCH(sys_KeyOperator&amp;"Head",key_AOEM,0),9)+ d_head75ProtectionFactor),MAX(INDEX(ay_OpExAOEM,MATCH(sys_KeyOperator&amp;"Head",key_AOEM,0),10),(INDEX(ay_OpExAOEM,MATCH(sys_KeyOperator&amp;"Head",key_AOEM,0),10)/1.5)*i_AmountAS1))*IF(ISNUMBER(L27),L27,1)</f>
        <v>#N/A</v>
      </c>
      <c r="E22" s="149" t="e">
        <f>IF(ISBLANK(INDEX(ay_OpExAOEM,MATCH(sys_KeyOperator&amp;"Head",key_AOEM,0),14)), 10^(INDEX(ay_OpExAOEM,MATCH(sys_KeyOperator&amp;"Head",key_AOEM,0),11) +(LOG(i_AmountAS1)*INDEX(ay_OpExAOEM,MATCH(sys_KeyOperator&amp;"Head",key_AOEM,0),12)) +INDEX(ay_OpExAOEM,MATCH(sys_KeyOperator&amp;"Head",key_AOEM,0),13)+ d_head95ProtectionFactor),MAX(INDEX(ay_OpExAOEM,MATCH(sys_KeyOperator&amp;"Head",key_AOEM,0),14),(INDEX(ay_OpExAOEM,MATCH(sys_KeyOperator&amp;"Head",key_AOEM,0),14) /1.5)*i_AmountAS1))*IF(ISNUMBER(L27),L27,1)</f>
        <v>#N/A</v>
      </c>
      <c r="F22" s="148" t="e">
        <f>IF(ISBLANK(INDEX(ay_OpExAOEM,MATCH(sys_KeyOperator&amp;"Head",key_AOEM,0),10)),10^(INDEX(ay_OpExAOEM,MATCH(sys_KeyOperator&amp;"Head",key_AOEM,0),7)+(LOG(i_AmountAS2)*INDEX(ay_OpExAOEM,MATCH(sys_KeyOperator&amp;"Head",key_AOEM,0),8))+INDEX(ay_OpExAOEM,MATCH(sys_KeyOperator&amp;"Head",key_AOEM,0),9)  + d_head75ProtectionFactor  ),MAX(INDEX(ay_OpExAOEM,MATCH(sys_KeyOperator&amp;"Head",key_AOEM,0),10),(INDEX(ay_OpExAOEM,MATCH(sys_KeyOperator&amp;"Head",key_AOEM,0),10)/1.5)*i_AmountAS2))*IF(ISNUMBER(L27),L27,1)</f>
        <v>#N/A</v>
      </c>
      <c r="G22" s="149" t="e">
        <f>IF(ISBLANK(INDEX(ay_OpExAOEM,MATCH(sys_KeyOperator&amp;"Head",key_AOEM,0),14)), 10^(INDEX(ay_OpExAOEM,MATCH(sys_KeyOperator&amp;"Head",key_AOEM,0),11) +(LOG(i_AmountAS2)*INDEX(ay_OpExAOEM,MATCH(sys_KeyOperator&amp;"Head",key_AOEM,0),12)) +INDEX(ay_OpExAOEM,MATCH(sys_KeyOperator&amp;"Head",key_AOEM,0),13)+ d_head95ProtectionFactor),MAX(INDEX(ay_OpExAOEM,MATCH(sys_KeyOperator&amp;"Head",key_AOEM,0),14),(INDEX(ay_OpExAOEM,MATCH(sys_KeyOperator&amp;"Head",key_AOEM,0),14) /1.5)*i_AmountAS2))*IF(ISNUMBER(L27),L27,1)</f>
        <v>#N/A</v>
      </c>
      <c r="H22" s="148" t="e">
        <f>IF(ISBLANK(INDEX(ay_OpExAOEM,MATCH(sys_KeyOperator&amp;"Head",key_AOEM,0),10)),10^(INDEX(ay_OpExAOEM,MATCH(sys_KeyOperator&amp;"Head",key_AOEM,0),7)+(LOG(i_AmountAS3)*INDEX(ay_OpExAOEM,MATCH(sys_KeyOperator&amp;"Head",key_AOEM,0),8))+INDEX(ay_OpExAOEM,MATCH(sys_KeyOperator&amp;"Head",key_AOEM,0),9)  + d_head75ProtectionFactor  ),MAX(INDEX(ay_OpExAOEM,MATCH(sys_KeyOperator&amp;"Head",key_AOEM,0),10),(INDEX(ay_OpExAOEM,MATCH(sys_KeyOperator&amp;"Head",key_AOEM,0),10)/1.5)*i_AmountAS3))*IF(ISNUMBER(L27),L27,1)</f>
        <v>#N/A</v>
      </c>
      <c r="I22" s="149" t="e">
        <f>IF(ISBLANK(INDEX(ay_OpExAOEM,MATCH(sys_KeyOperator&amp;"Head",key_AOEM,0),14)), 10^(INDEX(ay_OpExAOEM,MATCH(sys_KeyOperator&amp;"Head",key_AOEM,0),11) +(LOG(i_AmountAS3)*INDEX(ay_OpExAOEM,MATCH(sys_KeyOperator&amp;"Head",key_AOEM,0),12)) +INDEX(ay_OpExAOEM,MATCH(sys_KeyOperator&amp;"Head",key_AOEM,0),13)+ d_head95ProtectionFactor),MAX(INDEX(ay_OpExAOEM,MATCH(sys_KeyOperator&amp;"Head",key_AOEM,0),14),(INDEX(ay_OpExAOEM,MATCH(sys_KeyOperator&amp;"Head",key_AOEM,0),14) /1.5)*i_AmountAS3))*IF(ISNUMBER(L27),L27,1)</f>
        <v>#N/A</v>
      </c>
      <c r="J22" s="148" t="e">
        <f>IF(ISBLANK(INDEX(ay_OpExAOEM,MATCH(sys_KeyOperator&amp;"Head",key_AOEM,0),10)),10^(INDEX(ay_OpExAOEM,MATCH(sys_KeyOperator&amp;"Head",key_AOEM,0),7)+(LOG(i_AmountAS4)*INDEX(ay_OpExAOEM,MATCH(sys_KeyOperator&amp;"Head",key_AOEM,0),8))+INDEX(ay_OpExAOEM,MATCH(sys_KeyOperator&amp;"Head",key_AOEM,0),9)  + d_head75ProtectionFactor  ),MAX(INDEX(ay_OpExAOEM,MATCH(sys_KeyOperator&amp;"Head",key_AOEM,0),10),(INDEX(ay_OpExAOEM,MATCH(sys_KeyOperator&amp;"Head",key_AOEM,0),10)/1.5)*i_AmountAS4))*IF(ISNUMBER(L27),L27,1)</f>
        <v>#N/A</v>
      </c>
      <c r="K22" s="149" t="e">
        <f>IF(ISBLANK(INDEX(ay_OpExAOEM,MATCH(sys_KeyOperator&amp;"Head",key_AOEM,0),14)), 10^(INDEX(ay_OpExAOEM,MATCH(sys_KeyOperator&amp;"Head",key_AOEM,0),11) +(LOG(i_AmountAS4)*INDEX(ay_OpExAOEM,MATCH(sys_KeyOperator&amp;"Head",key_AOEM,0),12)) +INDEX(ay_OpExAOEM,MATCH(sys_KeyOperator&amp;"Head",key_AOEM,0),13)+ d_head95ProtectionFactor),MAX(INDEX(ay_OpExAOEM,MATCH(sys_KeyOperator&amp;"Head",key_AOEM,0),14),(INDEX(ay_OpExAOEM,MATCH(sys_KeyOperator&amp;"Head",key_AOEM,0),14) /1.5)*i_AmountAS4))*IF(ISNUMBER(L27),L27,1)</f>
        <v>#N/A</v>
      </c>
      <c r="L22" s="608" t="s">
        <v>419</v>
      </c>
      <c r="M22" s="367"/>
    </row>
    <row r="23" spans="1:23" ht="21" hidden="1" customHeight="1" thickBot="1">
      <c r="A23" s="27"/>
      <c r="B23" s="872"/>
      <c r="C23" s="142" t="s">
        <v>109</v>
      </c>
      <c r="D23" s="159" t="e">
        <f>IF(ISBLANK(INDEX(ay_OpExAOEM,MATCH(sys_KeyOperator&amp;"Inhalation",key_AOEM,0),10)),10^(INDEX(ay_OpExAOEM,MATCH(sys_KeyOperator&amp;"Inhalation",key_AOEM,0),7)+(LOG(i_AmountAS1)*INDEX(ay_OpExAOEM,MATCH(sys_KeyOperator&amp;"Inhalation",key_AOEM,0),8))+INDEX(ay_OpExAOEM,MATCH(sys_KeyOperator&amp;"Inhalation",key_AOEM,0),9)),MAX(INDEX(ay_OpExAOEM,MATCH(sys_KeyOperator&amp;"Inhalation",key_AOEM,0),10),(INDEX(ay_OpExAOEM,MATCH(sys_KeyOperator&amp;"Inhalation",key_AOEM,0),10)/1.5)*i_AmountAS1))</f>
        <v>#N/A</v>
      </c>
      <c r="E23" s="160" t="e">
        <f>IF(ISBLANK(INDEX(ay_OpExAOEM,MATCH(sys_KeyOperator&amp;"Inhalation",key_AOEM,0),14)), 10^(INDEX(ay_OpExAOEM,MATCH(sys_KeyOperator&amp;"Inhalation",key_AOEM,0),11) +(LOG(i_AmountAS1)*INDEX(ay_OpExAOEM,MATCH(sys_KeyOperator&amp;"Inhalation",key_AOEM,0),12)) +INDEX(ay_OpExAOEM,MATCH(sys_KeyOperator&amp;"Inhalation",key_AOEM,0),13)),MAX(INDEX(ay_OpExAOEM,MATCH(sys_KeyOperator&amp;"Inhalation",key_AOEM,0),14),(INDEX(ay_OpExAOEM,MATCH(sys_KeyOperator&amp;"Inhalation",key_AOEM,0),14) /1.5)*i_AmountAS1))</f>
        <v>#N/A</v>
      </c>
      <c r="F23" s="159" t="e" cm="1">
        <f t="array" ref="F23">IF(ISBLANK(INDEX(ay_OpExAOEM,MATCH(sys_KeyOperator&amp;"Inhalation",key_AOEM,0),10)),10^(INDEX(ay_OpExAOEM,MATCH(sys_KeyOperator&amp;"Inhalation",key_AOEM,0),7)+(LOG(i_AmountAS2)*INDEX(ay_OpExAOEM,MATCH(sys_KeyOperator&amp;"Inhalation",key_AOEM,0),8))+INDEX(ay_OpExAOEM,MATCH(sys_KeyOperator&amp;"Inhalation",key_AOEM,0),9)),MAX(INDEX(ay_OpExAOEM,MATCH(sys_KeyOperator&amp;"Inhalation",key_AOEM,0),10),(INDEX(ay_OpExAOEM,MATCH(sys_KeyOperator&amp;"Inhalation",key_AOEM,0),10)/1.5)*i_AmountAS2))</f>
        <v>#N/A</v>
      </c>
      <c r="G23" s="160" t="e" cm="1">
        <f t="array" ref="G23">IF(ISBLANK(INDEX(ay_OpExAOEM,MATCH(sys_KeyOperator&amp;"Inhalation",key_AOEM,0),14)), 10^(INDEX(ay_OpExAOEM,MATCH(sys_KeyOperator&amp;"Inhalation",key_AOEM,0),11) +(LOG(i_AmountAS2)*INDEX(ay_OpExAOEM,MATCH(sys_KeyOperator&amp;"Inhalation",key_AOEM,0),12)) +INDEX(ay_OpExAOEM,MATCH(sys_KeyOperator&amp;"Inhalation",key_AOEM,0),13)),MAX(INDEX(ay_OpExAOEM,MATCH(sys_KeyOperator&amp;"Inhalation",key_AOEM,0),14),(INDEX(ay_OpExAOEM,MATCH(sys_KeyOperator&amp;"Inhalation",key_AOEM,0),14) /1.5)*i_AmountAS2))</f>
        <v>#N/A</v>
      </c>
      <c r="H23" s="159" t="e">
        <f>IF(ISBLANK(INDEX(ay_OpExAOEM,MATCH(sys_KeyOperator&amp;"Inhalation",key_AOEM,0),10)),10^(INDEX(ay_OpExAOEM,MATCH(sys_KeyOperator&amp;"Inhalation",key_AOEM,0),7)+(LOG(i_AmountAS3)*INDEX(ay_OpExAOEM,MATCH(sys_KeyOperator&amp;"Inhalation",key_AOEM,0),8))+INDEX(ay_OpExAOEM,MATCH(sys_KeyOperator&amp;"Inhalation",key_AOEM,0),9)),MAX(INDEX(ay_OpExAOEM,MATCH(sys_KeyOperator&amp;"Inhalation",key_AOEM,0),10),(INDEX(ay_OpExAOEM,MATCH(sys_KeyOperator&amp;"Inhalation",key_AOEM,0),10)/1.5)*i_AmountAS3))</f>
        <v>#N/A</v>
      </c>
      <c r="I23" s="160" t="e">
        <f>IF(ISBLANK(INDEX(ay_OpExAOEM,MATCH(sys_KeyOperator&amp;"Inhalation",key_AOEM,0),14)), 10^(INDEX(ay_OpExAOEM,MATCH(sys_KeyOperator&amp;"Inhalation",key_AOEM,0),11) +(LOG(i_AmountAS3)*INDEX(ay_OpExAOEM,MATCH(sys_KeyOperator&amp;"Inhalation",key_AOEM,0),12)) +INDEX(ay_OpExAOEM,MATCH(sys_KeyOperator&amp;"Inhalation",key_AOEM,0),13)),MAX(INDEX(ay_OpExAOEM,MATCH(sys_KeyOperator&amp;"Inhalation",key_AOEM,0),14),(INDEX(ay_OpExAOEM,MATCH(sys_KeyOperator&amp;"Inhalation",key_AOEM,0),14) /1.5)*i_AmountAS3))</f>
        <v>#N/A</v>
      </c>
      <c r="J23" s="159" t="e">
        <f>IF(ISBLANK(INDEX(ay_OpExAOEM,MATCH(sys_KeyOperator&amp;"Inhalation",key_AOEM,0),10)),10^(INDEX(ay_OpExAOEM,MATCH(sys_KeyOperator&amp;"Inhalation",key_AOEM,0),7)+(LOG(i_AmountAS4)*INDEX(ay_OpExAOEM,MATCH(sys_KeyOperator&amp;"Inhalation",key_AOEM,0),8))+INDEX(ay_OpExAOEM,MATCH(sys_KeyOperator&amp;"Inhalation",key_AOEM,0),9)),MAX(INDEX(ay_OpExAOEM,MATCH(sys_KeyOperator&amp;"Inhalation",key_AOEM,0),10),(INDEX(ay_OpExAOEM,MATCH(sys_KeyOperator&amp;"Inhalation",key_AOEM,0),10)/1.5)*i_AmountAS4))</f>
        <v>#N/A</v>
      </c>
      <c r="K23" s="160" t="e">
        <f>IF(ISBLANK(INDEX(ay_OpExAOEM,MATCH(sys_KeyOperator&amp;"Inhalation",key_AOEM,0),14)), 10^(INDEX(ay_OpExAOEM,MATCH(sys_KeyOperator&amp;"Inhalation",key_AOEM,0),11) +(LOG(i_AmountAS4)*INDEX(ay_OpExAOEM,MATCH(sys_KeyOperator&amp;"Inhalation",key_AOEM,0),12)) +INDEX(ay_OpExAOEM,MATCH(sys_KeyOperator&amp;"Inhalation",key_AOEM,0),13)),MAX(INDEX(ay_OpExAOEM,MATCH(sys_KeyOperator&amp;"Inhalation",key_AOEM,0),14),(INDEX(ay_OpExAOEM,MATCH(sys_KeyOperator&amp;"Inhalation",key_AOEM,0),14) /1.5)*i_AmountAS4))</f>
        <v>#N/A</v>
      </c>
      <c r="L23" s="609" t="s">
        <v>419</v>
      </c>
      <c r="M23" s="648"/>
      <c r="N23" s="389"/>
      <c r="O23" s="389"/>
    </row>
    <row r="24" spans="1:23" ht="30.75" thickBot="1">
      <c r="A24" s="27"/>
      <c r="B24" s="872"/>
      <c r="C24" s="335" t="s">
        <v>424</v>
      </c>
      <c r="D24" s="916" t="s">
        <v>425</v>
      </c>
      <c r="E24" s="917"/>
      <c r="F24" s="691"/>
      <c r="G24" s="692"/>
      <c r="H24" s="692"/>
      <c r="I24" s="692"/>
      <c r="J24" s="692"/>
      <c r="K24" s="693"/>
      <c r="L24" s="694" t="s">
        <v>426</v>
      </c>
      <c r="M24" s="695" t="s">
        <v>427</v>
      </c>
    </row>
    <row r="25" spans="1:23" ht="29.25" customHeight="1" thickBot="1">
      <c r="A25" s="27"/>
      <c r="B25" s="872"/>
      <c r="C25" s="141" t="s">
        <v>428</v>
      </c>
      <c r="D25" s="918" t="s">
        <v>455</v>
      </c>
      <c r="E25" s="919"/>
      <c r="F25" s="281"/>
      <c r="G25" s="31"/>
      <c r="H25" s="31"/>
      <c r="I25" s="31"/>
      <c r="J25" s="31"/>
      <c r="K25" s="163"/>
      <c r="L25" s="610" t="str">
        <f>IF(D25="Yes","Incl. in AOEM model","")</f>
        <v/>
      </c>
      <c r="M25" s="440"/>
    </row>
    <row r="26" spans="1:23" ht="30" customHeight="1" thickBot="1">
      <c r="A26" s="27"/>
      <c r="B26" s="872"/>
      <c r="C26" s="138" t="s">
        <v>429</v>
      </c>
      <c r="D26" s="920" t="s">
        <v>456</v>
      </c>
      <c r="E26" s="921"/>
      <c r="F26" s="281"/>
      <c r="G26" s="31"/>
      <c r="H26" s="31"/>
      <c r="I26" s="31"/>
      <c r="J26" s="31"/>
      <c r="K26" s="163"/>
      <c r="L26" s="610" t="s">
        <v>430</v>
      </c>
      <c r="M26" s="440"/>
    </row>
    <row r="27" spans="1:23" ht="30" customHeight="1" thickBot="1">
      <c r="A27" s="27"/>
      <c r="B27" s="872"/>
      <c r="C27" s="284" t="s">
        <v>457</v>
      </c>
      <c r="D27" s="689" t="s">
        <v>458</v>
      </c>
      <c r="E27" s="690" t="s">
        <v>458</v>
      </c>
      <c r="F27" s="618" t="str">
        <f>IF(AND(D27="Face shield",E27&lt;&gt;"none"),"← Please deselect RPE","")</f>
        <v/>
      </c>
      <c r="G27" s="31"/>
      <c r="H27" s="31"/>
      <c r="I27" s="31"/>
      <c r="J27" s="31"/>
      <c r="K27" s="163"/>
      <c r="L27" s="708">
        <f>IF(AND(i_AppEquip&lt;&gt;"Manual-Knapsack",RIGHT(D27,6)="shield"),"Incl. in AOEM model",INDEX(ay_MixPPEHead,MATCH(D27,key_MixPPEHead,0),2)*INDEX(ay_MixPPEHead,MATCH(E27,key_MixPPEHead,0),2))</f>
        <v>1</v>
      </c>
      <c r="M27" s="710">
        <f>INDEX(ay_MixRPE,MATCH(E27,key_MixRPE,0),2)</f>
        <v>1</v>
      </c>
      <c r="R27" s="445"/>
    </row>
    <row r="28" spans="1:23" ht="15.75" thickBot="1">
      <c r="A28" s="27"/>
      <c r="B28" s="872"/>
      <c r="C28" s="142" t="s">
        <v>432</v>
      </c>
      <c r="D28" s="932" t="s">
        <v>455</v>
      </c>
      <c r="E28" s="933"/>
      <c r="F28" s="282"/>
      <c r="G28" s="283"/>
      <c r="H28" s="283"/>
      <c r="I28" s="283"/>
      <c r="J28" s="283"/>
      <c r="K28" s="164"/>
      <c r="L28" s="611">
        <f>IF(AND(D28="Yes"),0.1,1)</f>
        <v>1</v>
      </c>
      <c r="M28" s="441"/>
    </row>
    <row r="29" spans="1:23" ht="19.5" hidden="1" thickBot="1">
      <c r="A29" s="27"/>
      <c r="B29" s="871" t="s">
        <v>366</v>
      </c>
      <c r="C29" s="360"/>
      <c r="D29" s="873">
        <f>i_SubstName1</f>
        <v>0</v>
      </c>
      <c r="E29" s="874"/>
      <c r="F29" s="873">
        <f>i_SubstName2</f>
        <v>0</v>
      </c>
      <c r="G29" s="874"/>
      <c r="H29" s="873">
        <f>i_SubstName3</f>
        <v>0</v>
      </c>
      <c r="I29" s="874"/>
      <c r="J29" s="873">
        <f>i_SubstName4</f>
        <v>0</v>
      </c>
      <c r="K29" s="874"/>
      <c r="L29" s="612"/>
      <c r="M29" s="442"/>
    </row>
    <row r="30" spans="1:23" ht="15" hidden="1" customHeight="1" thickBot="1">
      <c r="A30" s="27"/>
      <c r="B30" s="871"/>
      <c r="C30" s="934" t="s">
        <v>413</v>
      </c>
      <c r="D30" s="922" t="s">
        <v>433</v>
      </c>
      <c r="E30" s="915"/>
      <c r="F30" s="922" t="s">
        <v>433</v>
      </c>
      <c r="G30" s="915"/>
      <c r="H30" s="914" t="s">
        <v>433</v>
      </c>
      <c r="I30" s="915"/>
      <c r="J30" s="922" t="s">
        <v>433</v>
      </c>
      <c r="K30" s="915"/>
      <c r="L30" s="929" t="s">
        <v>415</v>
      </c>
      <c r="M30" s="913" t="s">
        <v>416</v>
      </c>
    </row>
    <row r="31" spans="1:23" ht="32.25" hidden="1" customHeight="1" thickBot="1">
      <c r="A31" s="27"/>
      <c r="B31" s="871"/>
      <c r="C31" s="876"/>
      <c r="D31" s="698" t="s">
        <v>145</v>
      </c>
      <c r="E31" s="699" t="s">
        <v>417</v>
      </c>
      <c r="F31" s="698" t="s">
        <v>145</v>
      </c>
      <c r="G31" s="699" t="s">
        <v>417</v>
      </c>
      <c r="H31" s="700" t="s">
        <v>145</v>
      </c>
      <c r="I31" s="699" t="s">
        <v>417</v>
      </c>
      <c r="J31" s="698" t="s">
        <v>145</v>
      </c>
      <c r="K31" s="699" t="s">
        <v>417</v>
      </c>
      <c r="L31" s="930"/>
      <c r="M31" s="928"/>
    </row>
    <row r="32" spans="1:23" ht="21" hidden="1" customHeight="1" thickBot="1">
      <c r="A32" s="27"/>
      <c r="B32" s="871"/>
      <c r="C32" s="172" t="s">
        <v>418</v>
      </c>
      <c r="D32" s="173" t="e">
        <f>IF(i_AppEquip="Manual-Trolley",Trolley!D32+MHH!D32,IF(ISBLANK(INDEX(ay_OpExAOEM,MATCH(sys_KeyOperator&amp;"Hands",key_AOEM,0),18)),10^(INDEX(ay_OpExAOEM,MATCH(sys_KeyOperator&amp;"Hands",key_AOEM,0),15)+(LOG(i_AmountAS1)*INDEX(ay_OpExAOEM,MATCH(sys_KeyOperator&amp;"Hands",key_AOEM,0),16))+ IF(AND(i_AppMeth="Upward spraying",LEFT(i_AppEquip,15)="Vehicle-mounted",d_AppPfCaBfR = "Yes"),0,IF(AND(i_Season = "late (dense foliage)",i_AppMeth="Upward spraying",OR(i_AppEquip="Manual-Hand held",i_AppEquip="Manual-Knapsack")),0,INDEX(ay_OpExAOEM,MATCH(sys_KeyOperator&amp;"Hands",key_AOEM,0),17)))),MAX(INDEX(ay_OpExAOEM,MATCH(sys_KeyOperator&amp;"Hands",key_AOEM,0),18),(INDEX(ay_OpExAOEM,MATCH(sys_KeyOperator&amp;"Hands",key_AOEM,0),18)/d_PctExtrapolation)*i_AmountAS1)))</f>
        <v>#N/A</v>
      </c>
      <c r="E32" s="174" t="e">
        <f>IF(i_AppEquip="Manual-Trolley",Trolley!E32+MHH!E32,IF(ISBLANK(INDEX(ay_OpExAOEM,MATCH(sys_KeyOperator&amp;"Hands",key_AOEM,0),22)),10^(INDEX(ay_OpExAOEM,MATCH(sys_KeyOperator&amp;"Hands",key_AOEM,0),19)+(LOG(i_AmountAS1)*INDEX(ay_OpExAOEM,MATCH(sys_KeyOperator&amp;"Hands",key_AOEM,0),20))+IF(AND(i_AppMeth="Upward spraying",LEFT(i_AppEquip,15)="Vehicle-mounted",d_AppPfCaBfR="Yes"),0,IF(AND(i_Season="late (dense foliage)",i_AppMeth="Upward spraying",OR(i_AppEquip="Manual-Hand held",i_AppEquip="Manual-Knapsack")),0,INDEX(ay_OpExAOEM,MATCH(sys_KeyOperator&amp;"Hands",key_AOEM,0),21)))),MAX(INDEX(ay_OpExAOEM,MATCH(sys_KeyOperator&amp;"Hands",key_AOEM,0),22),(INDEX(ay_OpExAOEM,MATCH(sys_KeyOperator&amp;"Hands",key_AOEM,0),22)/d_PctExtrapolation)*i_AmountAS1)))</f>
        <v>#N/A</v>
      </c>
      <c r="F32" s="173" t="e">
        <f>IF(i_AppEquip="Manual-Trolley",Trolley!F32+MHH!F32,IF(ISBLANK(INDEX(ay_OpExAOEM,MATCH(sys_KeyOperator&amp;"Hands",key_AOEM,0),18)),10^(INDEX(ay_OpExAOEM,MATCH(sys_KeyOperator&amp;"Hands",key_AOEM,0),15)+(LOG(i_AmountAS2)*INDEX(ay_OpExAOEM,MATCH(sys_KeyOperator&amp;"Hands",key_AOEM,0),16))+  IF(AND(i_AppMeth="Upward spraying",LEFT(i_AppEquip,15)="Vehicle-mounted",d_AppPfCaBfR = "Yes"),0,IF(AND(i_Season = "late (dense foliage)",i_AppMeth="Upward spraying",OR(i_AppEquip="Manual-Hand held",i_AppEquip="Manual-Knapsack")),0,INDEX(ay_OpExAOEM,MATCH(sys_KeyOperator&amp;"Hands",key_AOEM,0),17)))   ),MAX(INDEX(ay_OpExAOEM,MATCH(sys_KeyOperator&amp;"Hands",key_AOEM,0),18),(INDEX(ay_OpExAOEM,MATCH(sys_KeyOperator&amp;"Hands",key_AOEM,0),18)/d_PctExtrapolation)*i_AmountAS2)))</f>
        <v>#N/A</v>
      </c>
      <c r="G32" s="174" t="e">
        <f>IF(i_AppEquip="Manual-Trolley",Trolley!G32+MHH!G32,IF(ISBLANK(INDEX(ay_OpExAOEM,MATCH(sys_KeyOperator&amp;"Hands",key_AOEM,0),22)),10^(INDEX(ay_OpExAOEM,MATCH(sys_KeyOperator&amp;"Hands",key_AOEM,0),19)+(LOG(i_AmountAS2)*INDEX(ay_OpExAOEM,MATCH(sys_KeyOperator&amp;"Hands",key_AOEM,0),20))+  IF(AND(i_AppMeth="Upward spraying",LEFT(i_AppEquip,15)="Vehicle-mounted",d_AppPfCaBfR = "Yes"),0,IF(AND(i_Season = "late (dense foliage)",i_AppMeth="Upward spraying",OR(i_AppEquip="Manual-Hand held",i_AppEquip="Manual-Knapsack")),0,INDEX(ay_OpExAOEM,MATCH(sys_KeyOperator&amp;"Hands",key_AOEM,0),21)))   ),MAX(INDEX(ay_OpExAOEM,MATCH(sys_KeyOperator&amp;"Hands",key_AOEM,0),22),(INDEX(ay_OpExAOEM,MATCH(sys_KeyOperator&amp;"Hands",key_AOEM,0),22)/d_PctExtrapolation)*i_AmountAS2)))</f>
        <v>#N/A</v>
      </c>
      <c r="H32" s="175" t="e">
        <f>IF(i_AppEquip="Manual-Trolley",Trolley!H32+MHH!H32,IF(ISBLANK(INDEX(ay_OpExAOEM,MATCH(sys_KeyOperator&amp;"Hands",key_AOEM,0),18)),10^(INDEX(ay_OpExAOEM,MATCH(sys_KeyOperator&amp;"Hands",key_AOEM,0),15)+(LOG(i_AmountAS3)*INDEX(ay_OpExAOEM,MATCH(sys_KeyOperator&amp;"Hands",key_AOEM,0),16))+  IF(AND(i_AppMeth="Upward spraying",LEFT(i_AppEquip,15)="Vehicle-mounted",d_AppPfCaBfR = "Yes"),0,IF(AND(i_Season = "late (dense foliage)",i_AppMeth="Upward spraying",OR(i_AppEquip="Manual-Hand held",i_AppEquip="Manual-Knapsack")),0,INDEX(ay_OpExAOEM,MATCH(sys_KeyOperator&amp;"Hands",key_AOEM,0),17)))   ),MAX(INDEX(ay_OpExAOEM,MATCH(sys_KeyOperator&amp;"Hands",key_AOEM,0),18),(INDEX(ay_OpExAOEM,MATCH(sys_KeyOperator&amp;"Hands",key_AOEM,0),18)/d_PctExtrapolation)*i_AmountAS3)))</f>
        <v>#N/A</v>
      </c>
      <c r="I32" s="174" t="e">
        <f>IF(i_AppEquip="Manual-Trolley",Trolley!I32+MHH!I32,IF(ISBLANK(INDEX(ay_OpExAOEM,MATCH(sys_KeyOperator&amp;"Hands",key_AOEM,0),22)),10^(INDEX(ay_OpExAOEM,MATCH(sys_KeyOperator&amp;"Hands",key_AOEM,0),19)+(LOG(i_AmountAS3)*INDEX(ay_OpExAOEM,MATCH(sys_KeyOperator&amp;"Hands",key_AOEM,0),20))+IF(AND(i_AppMeth="Upward spraying",LEFT(i_AppEquip,15)="Vehicle-mounted",d_AppPfCaBfR="Yes"),0,IF(AND(i_Season="late (dense foliage)",i_AppMeth="Upward spraying",OR(i_AppEquip="Manual-Hand held",i_AppEquip="Manual-Knapsack")),0,INDEX(ay_OpExAOEM,MATCH(sys_KeyOperator&amp;"Hands",key_AOEM,0),21)))),MAX(INDEX(ay_OpExAOEM,MATCH(sys_KeyOperator&amp;"Hands",key_AOEM,0),22),(INDEX(ay_OpExAOEM,MATCH(sys_KeyOperator&amp;"Hands",key_AOEM,0),22)/d_PctExtrapolation)*i_AmountAS3)))</f>
        <v>#N/A</v>
      </c>
      <c r="J32" s="173" t="e">
        <f>IF(i_AppEquip="Manual-Trolley",Trolley!J32+MHH!J32,IF(ISBLANK(INDEX(ay_OpExAOEM,MATCH(sys_KeyOperator&amp;"Hands",key_AOEM,0),18)),10^(INDEX(ay_OpExAOEM,MATCH(sys_KeyOperator&amp;"Hands",key_AOEM,0),15)+(LOG(i_AmountAS4)*INDEX(ay_OpExAOEM,MATCH(sys_KeyOperator&amp;"Hands",key_AOEM,0),16))+  IF(AND(i_AppMeth="Upward spraying",LEFT(i_AppEquip,15)="Vehicle-mounted",d_AppPfCaBfR = "Yes"),0,IF(AND(i_Season = "late (dense foliage)",i_AppMeth="Upward spraying",OR(i_AppEquip="Manual-Hand held",i_AppEquip="Manual-Knapsack")),0,INDEX(ay_OpExAOEM,MATCH(sys_KeyOperator&amp;"Hands",key_AOEM,0),17)))   ),MAX(INDEX(ay_OpExAOEM,MATCH(sys_KeyOperator&amp;"Hands",key_AOEM,0),18),(INDEX(ay_OpExAOEM,MATCH(sys_KeyOperator&amp;"Hands",key_AOEM,0),18)/d_PctExtrapolation)*i_AmountAS4)))</f>
        <v>#N/A</v>
      </c>
      <c r="K32" s="174" t="e">
        <f>IF(i_AppEquip="Manual-Trolley",Trolley!K32+MHH!K32,IF(ISBLANK(INDEX(ay_OpExAOEM,MATCH(sys_KeyOperator&amp;"Hands",key_AOEM,0),22)),10^(INDEX(ay_OpExAOEM,MATCH(sys_KeyOperator&amp;"Hands",key_AOEM,0),19)+(LOG(i_AmountAS4)*INDEX(ay_OpExAOEM,MATCH(sys_KeyOperator&amp;"Hands",key_AOEM,0),20))+IF(AND(i_AppMeth="Upward spraying",LEFT(i_AppEquip,15)="Vehicle-mounted",d_AppPfCaBfR="Yes"),0,IF(AND(i_Season="late (dense foliage)",i_AppMeth="Upward spraying",OR(i_AppEquip="Manual-Hand held",i_AppEquip="Manual-Knapsack")),0,INDEX(ay_OpExAOEM,MATCH(sys_KeyOperator&amp;"Hands",key_AOEM,0),21)))),MAX(INDEX(ay_OpExAOEM,MATCH(sys_KeyOperator&amp;"Hands",key_AOEM,0),22),(INDEX(ay_OpExAOEM,MATCH(sys_KeyOperator&amp;"Hands",key_AOEM,0),22)/d_PctExtrapolation)*i_AmountAS4)))</f>
        <v>#N/A</v>
      </c>
      <c r="L32" s="613" t="s">
        <v>419</v>
      </c>
      <c r="M32" s="926" t="str">
        <f>IF(AND(d_AreaTreated=10,i_AppMeth="Downward spraying"),IF(i_AppEquip="Vehicle-mounted-Drift Reduction","Small area equipment and drift reduction cannot be selected together - drift reduction has not been applied","This scenario assumes that small area equipment is used"),IF(i_AppMeth="Upward spraying", "No data available for a drift reduction scenario","") )</f>
        <v/>
      </c>
      <c r="S32" s="40"/>
      <c r="W32" s="40"/>
    </row>
    <row r="33" spans="1:23" ht="21" hidden="1" customHeight="1" thickBot="1">
      <c r="A33" s="27"/>
      <c r="B33" s="871"/>
      <c r="C33" s="138" t="s">
        <v>420</v>
      </c>
      <c r="D33" s="148" t="e">
        <f>IF(i_AppEquip="Manual-Trolley",Trolley!D33+MHH!D33,IF(ISBLANK(INDEX(ay_OpExAOEM,MATCH(sys_KeyOperator&amp;"Body",key_AOEM,0),18)),10^(INDEX(ay_OpExAOEM,MATCH(sys_KeyOperator&amp;"Body",key_AOEM,0),15)+(LOG(i_AmountAS1)*INDEX(ay_OpExAOEM,MATCH(sys_KeyOperator&amp;"Body",key_AOEM,0),16))+  IF(AND(i_AppMeth="Upward spraying",LEFT(i_AppEquip,15)="Vehicle-mounted",d_AppPfCaBfR = "Yes"),0,IF(AND(i_Season = "late (dense foliage)",i_AppMeth="Upward spraying",OR(i_AppEquip="Manual-Hand held",i_AppEquip="Manual-Knapsack")),0,INDEX(ay_OpExAOEM,MATCH(sys_KeyOperator&amp;"Body",key_AOEM,0),17)))   ),MAX(INDEX(ay_OpExAOEM,MATCH(sys_KeyOperator&amp;"Body",key_AOEM,0),18),(INDEX(ay_OpExAOEM,MATCH(sys_KeyOperator&amp;"Body",key_AOEM,0),18)/d_PctExtrapolation)*i_AmountAS1)))</f>
        <v>#N/A</v>
      </c>
      <c r="E33" s="149" t="e">
        <f>IF(i_AppEquip="Manual-Trolley",Trolley!E33+MHH!E33,IF(ISBLANK(INDEX(ay_OpExAOEM,MATCH(sys_KeyOperator&amp;"Body",key_AOEM,0),22)),10^(INDEX(ay_OpExAOEM,MATCH(sys_KeyOperator&amp;"Body",key_AOEM,0),19)+(LOG(i_AmountAS1)*INDEX(ay_OpExAOEM,MATCH(sys_KeyOperator&amp;"Body",key_AOEM,0),20))+  IF(AND(i_AppMeth="Upward spraying",LEFT(i_AppEquip,15)="Vehicle-mounted",d_AppPfCaBfR = "Yes"),0,IF(AND(i_Season = "late (dense foliage)",i_AppMeth="Upward spraying",OR(i_AppEquip="Manual-Hand held",i_AppEquip="Manual-Knapsack")),0,INDEX(ay_OpExAOEM,MATCH(sys_KeyOperator&amp;"Body",key_AOEM,0),21)))   ),MAX(INDEX(ay_OpExAOEM,MATCH(sys_KeyOperator&amp;"Body",key_AOEM,0),22),(INDEX(ay_OpExAOEM,MATCH(sys_KeyOperator&amp;"Body",key_AOEM,0),22)/d_PctExtrapolation)*i_AmountAS1)))</f>
        <v>#N/A</v>
      </c>
      <c r="F33" s="148" t="e">
        <f>IF(i_AppEquip="Manual-Trolley",Trolley!F33+MHH!F33,IF(ISBLANK(INDEX(ay_OpExAOEM,MATCH(sys_KeyOperator&amp;"Body",key_AOEM,0),18)),10^(INDEX(ay_OpExAOEM,MATCH(sys_KeyOperator&amp;"Body",key_AOEM,0),15)+(LOG(i_AmountAS2)*INDEX(ay_OpExAOEM,MATCH(sys_KeyOperator&amp;"Body",key_AOEM,0),16))+IF(AND(i_AppMeth="Upward spraying",LEFT(i_AppEquip,15)="Vehicle-mounted",d_AppPfCaBfR="Yes"),0,IF(AND(i_Season="late (dense foliage)",i_AppMeth="Upward spraying",OR(i_AppEquip="Manual-Hand held",i_AppEquip="Manual-Knapsack")),0,INDEX(ay_OpExAOEM,MATCH(sys_KeyOperator&amp;"Body",key_AOEM,0),17)))),MAX(INDEX(ay_OpExAOEM,MATCH(sys_KeyOperator&amp;"Body",key_AOEM,0),18),(INDEX(ay_OpExAOEM,MATCH(sys_KeyOperator&amp;"Body",key_AOEM,0),18)/d_PctExtrapolation)*i_AmountAS2)))</f>
        <v>#N/A</v>
      </c>
      <c r="G33" s="149" t="e">
        <f>IF(i_AppEquip="Manual-Trolley",Trolley!G33+MHH!G33,IF(ISBLANK(INDEX(ay_OpExAOEM,MATCH(sys_KeyOperator&amp;"Body",key_AOEM,0),22)),10^(INDEX(ay_OpExAOEM,MATCH(sys_KeyOperator&amp;"Body",key_AOEM,0),19)+(LOG(i_AmountAS2)*INDEX(ay_OpExAOEM,MATCH(sys_KeyOperator&amp;"Body",key_AOEM,0),20))+IF(AND(i_AppMeth="Upward spraying",LEFT(i_AppEquip,15)="Vehicle-mounted",d_AppPfCaBfR="Yes"),0,IF(AND(i_Season="late (dense foliage)",i_AppMeth="Upward spraying",OR(i_AppEquip="Manual-Hand held",i_AppEquip="Manual-Knapsack")),0,INDEX(ay_OpExAOEM,MATCH(sys_KeyOperator&amp;"Body",key_AOEM,0),21)))),MAX(INDEX(ay_OpExAOEM,MATCH(sys_KeyOperator&amp;"Body",key_AOEM,0),22),(INDEX(ay_OpExAOEM,MATCH(sys_KeyOperator&amp;"Body",key_AOEM,0),22)/d_PctExtrapolation)*i_AmountAS2)))</f>
        <v>#N/A</v>
      </c>
      <c r="H33" s="144" t="e">
        <f>IF(i_AppEquip="Manual-Trolley",Trolley!H33+MHH!H33,IF(ISBLANK(INDEX(ay_OpExAOEM,MATCH(sys_KeyOperator&amp;"Body",key_AOEM,0),18)),10^(INDEX(ay_OpExAOEM,MATCH(sys_KeyOperator&amp;"Body",key_AOEM,0),15)+(LOG(i_AmountAS3)*INDEX(ay_OpExAOEM,MATCH(sys_KeyOperator&amp;"Body",key_AOEM,0),16))+IF(AND(i_AppMeth="Upward spraying",LEFT(i_AppEquip,15)="Vehicle-mounted",d_AppPfCaBfR="Yes"),0,IF(AND(i_Season="late (dense foliage)",i_AppMeth="Upward spraying",OR(i_AppEquip="Manual-Hand held",i_AppEquip="Manual-Knapsack")),0,INDEX(ay_OpExAOEM,MATCH(sys_KeyOperator&amp;"Body",key_AOEM,0),17)))),MAX(INDEX(ay_OpExAOEM,MATCH(sys_KeyOperator&amp;"Body",key_AOEM,0),18),(INDEX(ay_OpExAOEM,MATCH(sys_KeyOperator&amp;"Body",key_AOEM,0),18)/d_PctExtrapolation)*i_AmountAS3)))</f>
        <v>#N/A</v>
      </c>
      <c r="I33" s="149" t="e">
        <f>IF(i_AppEquip="Manual-Trolley",Trolley!I33+MHH!I33,IF(ISBLANK(INDEX(ay_OpExAOEM,MATCH(sys_KeyOperator&amp;"Body",key_AOEM,0),22)),10^(INDEX(ay_OpExAOEM,MATCH(sys_KeyOperator&amp;"Body",key_AOEM,0),19)+(LOG(i_AmountAS3)*INDEX(ay_OpExAOEM,MATCH(sys_KeyOperator&amp;"Body",key_AOEM,0),20))+IF(AND(i_AppMeth="Upward spraying",LEFT(i_AppEquip,15)="Vehicle-mounted",d_AppPfCaBfR="Yes"),0,IF(AND(i_Season="late (dense foliage)",i_AppMeth="Upward spraying",OR(i_AppEquip="Manual-Hand held",i_AppEquip="Manual-Knapsack")),0,INDEX(ay_OpExAOEM,MATCH(sys_KeyOperator&amp;"Body",key_AOEM,0),21)))),MAX(INDEX(ay_OpExAOEM,MATCH(sys_KeyOperator&amp;"Body",key_AOEM,0),22),(INDEX(ay_OpExAOEM,MATCH(sys_KeyOperator&amp;"Body",key_AOEM,0),22)/d_PctExtrapolation)*i_AmountAS3)))</f>
        <v>#N/A</v>
      </c>
      <c r="J33" s="148" t="e">
        <f>IF(i_AppEquip="Manual-Trolley",Trolley!J33+MHH!J33,IF(ISBLANK(INDEX(ay_OpExAOEM,MATCH(sys_KeyOperator&amp;"Body",key_AOEM,0),18)),10^(INDEX(ay_OpExAOEM,MATCH(sys_KeyOperator&amp;"Body",key_AOEM,0),15)+(LOG(i_AmountAS4)*INDEX(ay_OpExAOEM,MATCH(sys_KeyOperator&amp;"Body",key_AOEM,0),16))+IF(AND(i_AppMeth="Upward spraying",LEFT(i_AppEquip,15)="Vehicle-mounted",d_AppPfCaBfR="Yes"),0,IF(AND(i_Season="late (dense foliage)",i_AppMeth="Upward spraying",OR(i_AppEquip="Manual-Hand held",i_AppEquip="Manual-Knapsack")),0,INDEX(ay_OpExAOEM,MATCH(sys_KeyOperator&amp;"Body",key_AOEM,0),17)))),MAX(INDEX(ay_OpExAOEM,MATCH(sys_KeyOperator&amp;"Body",key_AOEM,0),18),(INDEX(ay_OpExAOEM,MATCH(sys_KeyOperator&amp;"Body",key_AOEM,0),18)/d_PctExtrapolation)*i_AmountAS4)))</f>
        <v>#N/A</v>
      </c>
      <c r="K33" s="149" t="e">
        <f>IF(i_AppEquip="Manual-Trolley",Trolley!K33+MHH!K33,IF(ISBLANK(INDEX(ay_OpExAOEM,MATCH(sys_KeyOperator&amp;"Body",key_AOEM,0),22)),10^(INDEX(ay_OpExAOEM,MATCH(sys_KeyOperator&amp;"Body",key_AOEM,0),19)+(LOG(i_AmountAS4)*INDEX(ay_OpExAOEM,MATCH(sys_KeyOperator&amp;"Body",key_AOEM,0),20))+IF(AND(i_AppMeth="Upward spraying",LEFT(i_AppEquip,15)="Vehicle-mounted",d_AppPfCaBfR="Yes"),0,IF(AND(i_Season="late (dense foliage)",i_AppMeth="Upward spraying",OR(i_AppEquip="Manual-Hand held",i_AppEquip="Manual-Knapsack")),0,INDEX(ay_OpExAOEM,MATCH(sys_KeyOperator&amp;"Body",key_AOEM,0),21)))),MAX(INDEX(ay_OpExAOEM,MATCH(sys_KeyOperator&amp;"Body",key_AOEM,0),22),(INDEX(ay_OpExAOEM,MATCH(sys_KeyOperator&amp;"Body",key_AOEM,0),22)/d_PctExtrapolation)*i_AmountAS4)))</f>
        <v>#N/A</v>
      </c>
      <c r="L33" s="608" t="s">
        <v>419</v>
      </c>
      <c r="M33" s="927"/>
      <c r="S33" s="40"/>
      <c r="W33" s="40"/>
    </row>
    <row r="34" spans="1:23" ht="21" hidden="1" customHeight="1" thickBot="1">
      <c r="A34" s="27"/>
      <c r="B34" s="871"/>
      <c r="C34" s="139" t="s">
        <v>104</v>
      </c>
      <c r="D34" s="148" t="e">
        <f>IF(i_AppEquip="Manual-Trolley",Trolley!D34+MHH!D34,IF(ISBLANK(INDEX(ay_OpExAOEM,MATCH(sys_KeyOperator&amp;"Head",key_AOEM,0),18)),10^(INDEX(ay_OpExAOEM,MATCH(sys_KeyOperator&amp;"Head",key_AOEM,0),15)+(LOG(i_AmountAS1)*INDEX(ay_OpExAOEM,MATCH(sys_KeyOperator&amp;"Head",key_AOEM,0),16))+  IF(AND(i_AppMeth="Upward spraying",LEFT(i_AppEquip,15)="Vehicle-mounted",d_AppPfCaBfR = "Yes"),0,IF(AND(i_Season = "late (dense foliage)",i_AppMeth="Upward spraying",OR(i_AppEquip="Manual-Hand held",i_AppEquip="Manual-Knapsack")),0,INDEX(ay_OpExAOEM,MATCH(sys_KeyOperator&amp;"Head",key_AOEM,0),17)))   ),MAX(INDEX(ay_OpExAOEM,MATCH(sys_KeyOperator&amp;"Head",key_AOEM,0),18),(INDEX(ay_OpExAOEM,MATCH(sys_KeyOperator&amp;"Head",key_AOEM,0),18)/d_PctExtrapolation)*i_AmountAS1)))</f>
        <v>#N/A</v>
      </c>
      <c r="E34" s="149" t="e">
        <f>IF(i_AppEquip="Manual-Trolley",Trolley!E34+MHH!E34,IF(ISBLANK(INDEX(ay_OpExAOEM,MATCH(sys_KeyOperator&amp;"Head",key_AOEM,0),22)),10^(INDEX(ay_OpExAOEM,MATCH(sys_KeyOperator&amp;"Head",key_AOEM,0),19)+(LOG(i_AmountAS1)*INDEX(ay_OpExAOEM,MATCH(sys_KeyOperator&amp;"Head",key_AOEM,0),20))+  IF(AND(i_AppMeth="Upward spraying",LEFT(i_AppEquip,15)="Vehicle-mounted",d_AppPfCaBfR = "Yes"),0,IF(AND(i_Season = "late (dense foliage)",i_AppMeth="Upward spraying",OR(i_AppEquip="Manual-Hand held",i_AppEquip="Manual-Knapsack")),0,INDEX(ay_OpExAOEM,MATCH(sys_KeyOperator&amp;"Head",key_AOEM,0),21)))   ),MAX(INDEX(ay_OpExAOEM,MATCH(sys_KeyOperator&amp;"Head",key_AOEM,0),22),(INDEX(ay_OpExAOEM,MATCH(sys_KeyOperator&amp;"Head",key_AOEM,0),22)/d_PctExtrapolation)*i_AmountAS1)))</f>
        <v>#N/A</v>
      </c>
      <c r="F34" s="148" t="e">
        <f>IF(i_AppEquip="Manual-Trolley",Trolley!F34+MHH!F34,IF(ISBLANK(INDEX(ay_OpExAOEM,MATCH(sys_KeyOperator&amp;"Head",key_AOEM,0),18)),10^(INDEX(ay_OpExAOEM,MATCH(sys_KeyOperator&amp;"Head",key_AOEM,0),15)+(LOG(i_AmountAS2)*INDEX(ay_OpExAOEM,MATCH(sys_KeyOperator&amp;"Head",key_AOEM,0),16))+  IF(AND(i_AppMeth="Upward spraying",LEFT(i_AppEquip,15)="Vehicle-mounted",d_AppPfCaBfR = "Yes"),0,IF(AND(i_Season = "late (dense foliage)",i_AppMeth="Upward spraying",OR(i_AppEquip="Manual-Hand held",i_AppEquip="Manual-Knapsack")),0,INDEX(ay_OpExAOEM,MATCH(sys_KeyOperator&amp;"Head",key_AOEM,0),17)))   ),MAX(INDEX(ay_OpExAOEM,MATCH(sys_KeyOperator&amp;"Head",key_AOEM,0),18),(INDEX(ay_OpExAOEM,MATCH(sys_KeyOperator&amp;"Head",key_AOEM,0),18)/d_PctExtrapolation)*i_AmountAS2)))</f>
        <v>#N/A</v>
      </c>
      <c r="G34" s="149" t="e">
        <f>IF(i_AppEquip="Manual-Trolley",Trolley!G34+MHH!G34,IF(ISBLANK(INDEX(ay_OpExAOEM,MATCH(sys_KeyOperator&amp;"Head",key_AOEM,0),22)),10^(INDEX(ay_OpExAOEM,MATCH(sys_KeyOperator&amp;"Head",key_AOEM,0),19)+(LOG(i_AmountAS2)*INDEX(ay_OpExAOEM,MATCH(sys_KeyOperator&amp;"Head",key_AOEM,0),20))+  IF(AND(i_AppMeth="Upward spraying",LEFT(i_AppEquip,15)="Vehicle-mounted",d_AppPfCaBfR = "Yes"),0,IF(AND(i_Season = "late (dense foliage)",i_AppMeth="Upward spraying",OR(i_AppEquip="Manual-Hand held",i_AppEquip="Manual-Knapsack")),0,INDEX(ay_OpExAOEM,MATCH(sys_KeyOperator&amp;"Head",key_AOEM,0),21)))   ),MAX(INDEX(ay_OpExAOEM,MATCH(sys_KeyOperator&amp;"Head",key_AOEM,0),22),(INDEX(ay_OpExAOEM,MATCH(sys_KeyOperator&amp;"Head",key_AOEM,0),22)/d_PctExtrapolation)*i_AmountAS2)))</f>
        <v>#N/A</v>
      </c>
      <c r="H34" s="144" t="e">
        <f>IF(i_AppEquip="Manual-Trolley",Trolley!H34+MHH!H34,IF(ISBLANK(INDEX(ay_OpExAOEM,MATCH(sys_KeyOperator&amp;"Head",key_AOEM,0),18)),10^(INDEX(ay_OpExAOEM,MATCH(sys_KeyOperator&amp;"Head",key_AOEM,0),15)+(LOG(i_AmountAS3)*INDEX(ay_OpExAOEM,MATCH(sys_KeyOperator&amp;"Head",key_AOEM,0),16))+  IF(AND(i_AppMeth="Upward spraying",LEFT(i_AppEquip,15)="Vehicle-mounted",d_AppPfCaBfR = "Yes"),0,IF(AND(i_Season = "late (dense foliage)",i_AppMeth="Upward spraying",OR(i_AppEquip="Manual-Hand held",i_AppEquip="Manual-Knapsack")),0,INDEX(ay_OpExAOEM,MATCH(sys_KeyOperator&amp;"Head",key_AOEM,0),17)))   ),MAX(INDEX(ay_OpExAOEM,MATCH(sys_KeyOperator&amp;"Head",key_AOEM,0),18),(INDEX(ay_OpExAOEM,MATCH(sys_KeyOperator&amp;"Head",key_AOEM,0),18)/d_PctExtrapolation)*i_AmountAS3)))</f>
        <v>#N/A</v>
      </c>
      <c r="I34" s="149" t="e">
        <f>IF(i_AppEquip="Manual-Trolley",Trolley!I34+MHH!I34,IF(ISBLANK(INDEX(ay_OpExAOEM,MATCH(sys_KeyOperator&amp;"Head",key_AOEM,0),22)),10^(INDEX(ay_OpExAOEM,MATCH(sys_KeyOperator&amp;"Head",key_AOEM,0),19)+(LOG(i_AmountAS3)*INDEX(ay_OpExAOEM,MATCH(sys_KeyOperator&amp;"Head",key_AOEM,0),20))+IF(AND(i_AppMeth="Upward spraying",LEFT(i_AppEquip,15)="Vehicle-mounted",d_AppPfCaBfR="Yes"),0,IF(AND(i_Season="late (dense foliage)",i_AppMeth="Upward spraying",OR(i_AppEquip="Manual-Hand held",i_AppEquip="Manual-Knapsack")),0,INDEX(ay_OpExAOEM,MATCH(sys_KeyOperator&amp;"Head",key_AOEM,0),21)))),MAX(INDEX(ay_OpExAOEM,MATCH(sys_KeyOperator&amp;"Head",key_AOEM,0),22),(INDEX(ay_OpExAOEM,MATCH(sys_KeyOperator&amp;"Head",key_AOEM,0),22)/d_PctExtrapolation)*i_AmountAS3)))</f>
        <v>#N/A</v>
      </c>
      <c r="J34" s="148" t="e">
        <f>IF(i_AppEquip="Manual-Trolley",Trolley!J34+MHH!J34,IF(ISBLANK(INDEX(ay_OpExAOEM,MATCH(sys_KeyOperator&amp;"Head",key_AOEM,0),18)),10^(INDEX(ay_OpExAOEM,MATCH(sys_KeyOperator&amp;"Head",key_AOEM,0),15)+(LOG(i_AmountAS4)*INDEX(ay_OpExAOEM,MATCH(sys_KeyOperator&amp;"Head",key_AOEM,0),16))+IF(AND(i_AppMeth="Upward spraying",LEFT(i_AppEquip,15)="Vehicle-mounted",d_AppPfCaBfR="Yes"),0,IF(AND(i_Season="late (dense foliage)",i_AppMeth="Upward spraying",OR(i_AppEquip="Manual-Hand held",i_AppEquip="Manual-Knapsack")),0,INDEX(ay_OpExAOEM,MATCH(sys_KeyOperator&amp;"Head",key_AOEM,0),17)))),MAX(INDEX(ay_OpExAOEM,MATCH(sys_KeyOperator&amp;"Head",key_AOEM,0),18),(INDEX(ay_OpExAOEM,MATCH(sys_KeyOperator&amp;"Head",key_AOEM,0),18)/d_PctExtrapolation)*i_AmountAS4)))</f>
        <v>#N/A</v>
      </c>
      <c r="K34" s="149" t="e">
        <f>IF(i_AppEquip="Manual-Trolley",Trolley!K34+MHH!K34,IF(ISBLANK(INDEX(ay_OpExAOEM,MATCH(sys_KeyOperator&amp;"Head",key_AOEM,0),22)),10^(INDEX(ay_OpExAOEM,MATCH(sys_KeyOperator&amp;"Head",key_AOEM,0),19)+(LOG(i_AmountAS4)*INDEX(ay_OpExAOEM,MATCH(sys_KeyOperator&amp;"Head",key_AOEM,0),20))+IF(AND(i_AppMeth="Upward spraying",LEFT(i_AppEquip,15)="Vehicle-mounted",d_AppPfCaBfR="Yes"),0,IF(AND(i_Season="late (dense foliage)",i_AppMeth="Upward spraying",OR(i_AppEquip="Manual-Hand held",i_AppEquip="Manual-Knapsack")),0,INDEX(ay_OpExAOEM,MATCH(sys_KeyOperator&amp;"Head",key_AOEM,0),21)))),MAX(INDEX(ay_OpExAOEM,MATCH(sys_KeyOperator&amp;"Head",key_AOEM,0),22),(INDEX(ay_OpExAOEM,MATCH(sys_KeyOperator&amp;"Head",key_AOEM,0),22)/d_PctExtrapolation)*i_AmountAS4)))</f>
        <v>#N/A</v>
      </c>
      <c r="L34" s="608" t="s">
        <v>419</v>
      </c>
      <c r="M34" s="927"/>
      <c r="S34" s="40"/>
      <c r="W34" s="40"/>
    </row>
    <row r="35" spans="1:23" ht="21" hidden="1" customHeight="1" thickBot="1">
      <c r="A35" s="27"/>
      <c r="B35" s="871"/>
      <c r="C35" s="140" t="s">
        <v>88</v>
      </c>
      <c r="D35" s="148" t="e">
        <f>IF(i_AppEquip="Manual-Trolley",Trolley!D35+MHH!D35,IF(ISBLANK(INDEX(ay_OpExAOEM,MATCH(sys_KeyOperator&amp;"Protected Hands",key_AOEM,0),18)),10^(INDEX(ay_OpExAOEM,MATCH(sys_KeyOperator&amp;"Protected Hands",key_AOEM,0),15)+(LOG(i_AmountAS1)*INDEX(ay_OpExAOEM,MATCH(sys_KeyOperator&amp;"Protected Hands",key_AOEM,0),16))+  IF(AND(i_AppMeth="Upward spraying",LEFT(i_AppEquip,15)="Vehicle-mounted",d_AppPfCaBfR = "Yes"),0,IF(AND(i_Season = "late (dense foliage)",i_AppMeth="Upward spraying",OR(i_AppEquip="Manual-Hand held",i_AppEquip="Manual-Knapsack")),0,INDEX(ay_OpExAOEM,MATCH(sys_KeyOperator&amp;"Protected Hands",key_AOEM,0),17)))   ),MAX(INDEX(ay_OpExAOEM,MATCH(sys_KeyOperator&amp;"Protected Hands",key_AOEM,0),18),(INDEX(ay_OpExAOEM,MATCH(sys_KeyOperator&amp;"Protected Hands",key_AOEM,0),18)/d_PctExtrapolation)*i_AmountAS1)))</f>
        <v>#N/A</v>
      </c>
      <c r="E35" s="149" t="e">
        <f>IF(i_AppEquip="Manual-Trolley",Trolley!E35+MHH!E35,IF(ISBLANK(INDEX(ay_OpExAOEM,MATCH(sys_KeyOperator&amp;"Protected Hands",key_AOEM,0),22)),10^(INDEX(ay_OpExAOEM,MATCH(sys_KeyOperator&amp;"Protected Hands",key_AOEM,0),19)+(LOG(i_AmountAS1)*INDEX(ay_OpExAOEM,MATCH(sys_KeyOperator&amp;"Protected Hands",key_AOEM,0),20))+IF(AND(i_AppMeth="Upward spraying",LEFT(i_AppEquip,15)="Vehicle-mounted",d_AppPfCaBfR="Yes"),0,IF(AND(i_Season="late (dense foliage)",i_AppMeth="Upward spraying",OR(i_AppEquip="Manual-Hand held",i_AppEquip="Manual-Knapsack")),0,INDEX(ay_OpExAOEM,MATCH(sys_KeyOperator&amp;"Protected Hands",key_AOEM,0),21)))),MAX(INDEX(ay_OpExAOEM,MATCH(sys_KeyOperator&amp;"Protected Hands",key_AOEM,0),22),(INDEX(ay_OpExAOEM,MATCH(sys_KeyOperator&amp;"Protected Hands",key_AOEM,0),22)/d_PctExtrapolation)*i_AmountAS1)))</f>
        <v>#N/A</v>
      </c>
      <c r="F35" s="148" t="e">
        <f>IF(i_AppEquip="Manual-Trolley",Trolley!F35+MHH!F35,IF(ISBLANK(INDEX(ay_OpExAOEM,MATCH(sys_KeyOperator&amp;"Protected Hands",key_AOEM,0),18)),10^(INDEX(ay_OpExAOEM,MATCH(sys_KeyOperator&amp;"Protected Hands",key_AOEM,0),15)+(LOG(i_AmountAS2)*INDEX(ay_OpExAOEM,MATCH(sys_KeyOperator&amp;"Protected Hands",key_AOEM,0),16))+IF(AND(i_AppMeth="Upward spraying",LEFT(i_AppEquip,15)="Vehicle-mounted",d_AppPfCaBfR="Yes"),0,IF(AND(i_Season="late (dense foliage)",i_AppMeth="Upward spraying",OR(i_AppEquip="Manual-Hand held",i_AppEquip="Manual-Knapsack")),0,INDEX(ay_OpExAOEM,MATCH(sys_KeyOperator&amp;"Protected Hands",key_AOEM,0),17)))),MAX(INDEX(ay_OpExAOEM,MATCH(sys_KeyOperator&amp;"Protected Hands",key_AOEM,0),18),(INDEX(ay_OpExAOEM,MATCH(sys_KeyOperator&amp;"Protected Hands",key_AOEM,0),18)/d_PctExtrapolation)*i_AmountAS2)))</f>
        <v>#N/A</v>
      </c>
      <c r="G35" s="149" t="e">
        <f>IF(i_AppEquip="Manual-Trolley",Trolley!G35+MHH!G35,IF(ISBLANK(INDEX(ay_OpExAOEM,MATCH(sys_KeyOperator&amp;"Protected Hands",key_AOEM,0),22)),10^(INDEX(ay_OpExAOEM,MATCH(sys_KeyOperator&amp;"Protected Hands",key_AOEM,0),19)+(LOG(i_AmountAS2)*INDEX(ay_OpExAOEM,MATCH(sys_KeyOperator&amp;"Protected Hands",key_AOEM,0),20))+IF(AND(i_AppMeth="Upward spraying",LEFT(i_AppEquip,15)="Vehicle-mounted",d_AppPfCaBfR="Yes"),0,IF(AND(i_Season="late (dense foliage)",i_AppMeth="Upward spraying",OR(i_AppEquip="Manual-Hand held",i_AppEquip="Manual-Knapsack")),0,INDEX(ay_OpExAOEM,MATCH(sys_KeyOperator&amp;"Protected Hands",key_AOEM,0),21)))),MAX(INDEX(ay_OpExAOEM,MATCH(sys_KeyOperator&amp;"Protected Hands",key_AOEM,0),22),(INDEX(ay_OpExAOEM,MATCH(sys_KeyOperator&amp;"Protected Hands",key_AOEM,0),22)/d_PctExtrapolation)*i_AmountAS2)))</f>
        <v>#N/A</v>
      </c>
      <c r="H35" s="144" t="e">
        <f>IF(i_AppEquip="Manual-Trolley",Trolley!H35+MHH!H35,IF(ISBLANK(INDEX(ay_OpExAOEM,MATCH(sys_KeyOperator&amp;"Protected Hands",key_AOEM,0),18)),10^(INDEX(ay_OpExAOEM,MATCH(sys_KeyOperator&amp;"Protected Hands",key_AOEM,0),15)+(LOG(i_AmountAS3)*INDEX(ay_OpExAOEM,MATCH(sys_KeyOperator&amp;"Protected Hands",key_AOEM,0),16))+IF(AND(i_AppMeth="Upward spraying",LEFT(i_AppEquip,15)="Vehicle-mounted",d_AppPfCaBfR="Yes"),0,IF(AND(i_Season="late (dense foliage)",i_AppMeth="Upward spraying",OR(i_AppEquip="Manual-Hand held",i_AppEquip="Manual-Knapsack")),0,INDEX(ay_OpExAOEM,MATCH(sys_KeyOperator&amp;"Protected Hands",key_AOEM,0),17)))),MAX(INDEX(ay_OpExAOEM,MATCH(sys_KeyOperator&amp;"Protected Hands",key_AOEM,0),18),(INDEX(ay_OpExAOEM,MATCH(sys_KeyOperator&amp;"Protected Hands",key_AOEM,0),18)/d_PctExtrapolation)*i_AmountAS3)))</f>
        <v>#N/A</v>
      </c>
      <c r="I35" s="149" t="e">
        <f>IF(i_AppEquip="Manual-Trolley",Trolley!I35+MHH!I35,IF(ISBLANK(INDEX(ay_OpExAOEM,MATCH(sys_KeyOperator&amp;"Protected Hands",key_AOEM,0),22)),10^(INDEX(ay_OpExAOEM,MATCH(sys_KeyOperator&amp;"Protected Hands",key_AOEM,0),19)+(LOG(i_AmountAS3)*INDEX(ay_OpExAOEM,MATCH(sys_KeyOperator&amp;"Protected Hands",key_AOEM,0),20))+IF(AND(i_AppMeth="Upward spraying",LEFT(i_AppEquip,15)="Vehicle-mounted",d_AppPfCaBfR="Yes"),0,IF(AND(i_Season="late (dense foliage)",i_AppMeth="Upward spraying",OR(i_AppEquip="Manual-Hand held",i_AppEquip="Manual-Knapsack")),0,INDEX(ay_OpExAOEM,MATCH(sys_KeyOperator&amp;"Protected Hands",key_AOEM,0),21)))),MAX(INDEX(ay_OpExAOEM,MATCH(sys_KeyOperator&amp;"Protected Hands",key_AOEM,0),22),(INDEX(ay_OpExAOEM,MATCH(sys_KeyOperator&amp;"Protected Hands",key_AOEM,0),22)/d_PctExtrapolation)*i_AmountAS3)))</f>
        <v>#N/A</v>
      </c>
      <c r="J35" s="148" t="e">
        <f>IF(i_AppEquip="Manual-Trolley",Trolley!J35+MHH!J35,IF(ISBLANK(INDEX(ay_OpExAOEM,MATCH(sys_KeyOperator&amp;"Protected Hands",key_AOEM,0),18)),10^(INDEX(ay_OpExAOEM,MATCH(sys_KeyOperator&amp;"Protected Hands",key_AOEM,0),15)+(LOG(i_AmountAS4)*INDEX(ay_OpExAOEM,MATCH(sys_KeyOperator&amp;"Protected Hands",key_AOEM,0),16))+IF(AND(i_AppMeth="Upward spraying",LEFT(i_AppEquip,15)="Vehicle-mounted",d_AppPfCaBfR="Yes"),0,IF(AND(i_Season="late (dense foliage)",i_AppMeth="Upward spraying",OR(i_AppEquip="Manual-Hand held",i_AppEquip="Manual-Knapsack")),0,INDEX(ay_OpExAOEM,MATCH(sys_KeyOperator&amp;"Protected Hands",key_AOEM,0),17)))),MAX(INDEX(ay_OpExAOEM,MATCH(sys_KeyOperator&amp;"Protected Hands",key_AOEM,0),18),(INDEX(ay_OpExAOEM,MATCH(sys_KeyOperator&amp;"Protected Hands",key_AOEM,0),18)/d_PctExtrapolation)*i_AmountAS4)))</f>
        <v>#N/A</v>
      </c>
      <c r="K35" s="149" t="e">
        <f>IF(i_AppEquip="Manual-Trolley",Trolley!K35+MHH!K35,IF(ISBLANK(INDEX(ay_OpExAOEM,MATCH(sys_KeyOperator&amp;"Protected Hands",key_AOEM,0),22)),10^(INDEX(ay_OpExAOEM,MATCH(sys_KeyOperator&amp;"Protected Hands",key_AOEM,0),19)+(LOG(i_AmountAS4)*INDEX(ay_OpExAOEM,MATCH(sys_KeyOperator&amp;"Protected Hands",key_AOEM,0),20))+IF(AND(i_AppMeth="Upward spraying",LEFT(i_AppEquip,15)="Vehicle-mounted",d_AppPfCaBfR="Yes"),0,IF(AND(i_Season="late (dense foliage)",i_AppMeth="Upward spraying",OR(i_AppEquip="Manual-Hand held",i_AppEquip="Manual-Knapsack")),0,INDEX(ay_OpExAOEM,MATCH(sys_KeyOperator&amp;"Protected Hands",key_AOEM,0),21)))),MAX(INDEX(ay_OpExAOEM,MATCH(sys_KeyOperator&amp;"Protected Hands",key_AOEM,0),22),(INDEX(ay_OpExAOEM,MATCH(sys_KeyOperator&amp;"Protected Hands",key_AOEM,0),22)/d_PctExtrapolation)*i_AmountAS4)))</f>
        <v>#N/A</v>
      </c>
      <c r="L35" s="608" t="s">
        <v>419</v>
      </c>
      <c r="M35" s="927"/>
      <c r="S35" s="40"/>
      <c r="W35" s="40"/>
    </row>
    <row r="36" spans="1:23" ht="21" hidden="1" customHeight="1" thickBot="1">
      <c r="A36" s="27"/>
      <c r="B36" s="871"/>
      <c r="C36" s="140" t="s">
        <v>99</v>
      </c>
      <c r="D36" s="148" t="e">
        <f>IF(i_AppEquip="Manual-Trolley",Trolley!D36+MHH!D36,IF(ISBLANK(INDEX(ay_OpExAOEM,MATCH(sys_KeyOperator&amp;"Protected Body",key_AOEM,0),18)),10^(INDEX(ay_OpExAOEM,MATCH(sys_KeyOperator&amp;"Protected Body",key_AOEM,0),15)+(LOG(i_AmountAS1)*INDEX(ay_OpExAOEM,MATCH(sys_KeyOperator&amp;"Protected Body",key_AOEM,0),16))+IF(AND(i_AppMeth="Upward spraying",LEFT(i_AppEquip,15)="Vehicle-mounted",d_AppPfCaBfR="Yes"),0,IF(AND(i_Season="late (dense foliage)",i_AppMeth="Upward spraying",OR(i_AppEquip="Manual-Hand held",i_AppEquip="Manual-Knapsack")),0,INDEX(ay_OpExAOEM,MATCH(sys_KeyOperator&amp;"Protected Body",key_AOEM,0),17)))),MAX(INDEX(ay_OpExAOEM,MATCH(sys_KeyOperator&amp;"Protected Body",key_AOEM,0),18),(INDEX(ay_OpExAOEM,MATCH(sys_KeyOperator&amp;"Protected Body",key_AOEM,0),18)/d_PctExtrapolation*i_AmountAS1))))</f>
        <v>#N/A</v>
      </c>
      <c r="E36" s="149" t="e">
        <f>IF(i_AppEquip="Manual-Trolley",Trolley!E36+MHH!E36,IF(ISBLANK(INDEX(ay_OpExAOEM,MATCH(sys_KeyOperator&amp;"Protected Body",key_AOEM,0),22)),10^(INDEX(ay_OpExAOEM,MATCH(sys_KeyOperator&amp;"Protected Body",key_AOEM,0),19)++(LOG(i_AmountAS1)*INDEX(ay_OpExAOEM,MATCH(sys_KeyOperator&amp;"Protected Body",key_AOEM,0),20))+IF(AND(i_AppMeth="Upward spraying",LEFT(i_AppEquip,15)="Vehicle-mounted",d_AppPfCaBfR="Yes"),0,IF(AND(i_Season="late (dense foliage)",i_AppMeth="Upward spraying",OR(i_AppEquip="Manual-Hand held",i_AppEquip="Manual-Knapsack")),0,INDEX(ay_OpExAOEM,MATCH(sys_KeyOperator&amp;"Protected Body",key_AOEM,0),21)))),MAX(INDEX(ay_OpExAOEM,MATCH(sys_KeyOperator&amp;"Protected Body",key_AOEM,0),22),(INDEX(ay_OpExAOEM,MATCH(sys_KeyOperator&amp;"Protected Body",key_AOEM,0),22)/d_PctExtrapolation)*i_AmountAS1)))</f>
        <v>#N/A</v>
      </c>
      <c r="F36" s="148" t="e">
        <f>IF(i_AppEquip="Manual-Trolley",Trolley!F36+MHH!F36,IF(ISBLANK(INDEX(ay_OpExAOEM,MATCH(sys_KeyOperator&amp;"Protected Body",key_AOEM,0),18)),10^(INDEX(ay_OpExAOEM,MATCH(sys_KeyOperator&amp;"Protected Body",key_AOEM,0),15)+(LOG(i_AmountAS2)*INDEX(ay_OpExAOEM,MATCH(sys_KeyOperator&amp;"Protected Body",key_AOEM,0),16))+IF(AND(i_AppMeth="Upward spraying",LEFT(i_AppEquip,15)="Vehicle-mounted",d_AppPfCaBfR="Yes"),0,IF(AND(i_Season="late (dense foliage)",i_AppMeth="Upward spraying",OR(i_AppEquip="Manual-Hand held",i_AppEquip="Manual-Knapsack")),0,INDEX(ay_OpExAOEM,MATCH(sys_KeyOperator&amp;"Protected Body",key_AOEM,0),17)))),MAX(INDEX(ay_OpExAOEM,MATCH(sys_KeyOperator&amp;"Protected Body",key_AOEM,0),18),(INDEX(ay_OpExAOEM,MATCH(sys_KeyOperator&amp;"Protected Body",key_AOEM,0),18)/d_PctExtrapolation)*i_AmountAS2)))</f>
        <v>#N/A</v>
      </c>
      <c r="G36" s="149" t="e">
        <f>IF(i_AppEquip="Manual-Trolley",Trolley!G36+MHH!G36,IF(ISBLANK(INDEX(ay_OpExAOEM,MATCH(sys_KeyOperator&amp;"Protected Body",key_AOEM,0),22)),10^(INDEX(ay_OpExAOEM,MATCH(sys_KeyOperator&amp;"Protected Body",key_AOEM,0),19)++(LOG(i_AmountAS2)*INDEX(ay_OpExAOEM,MATCH(sys_KeyOperator&amp;"Protected Body",key_AOEM,0),20))+IF(AND(i_AppMeth="Upward spraying",LEFT(i_AppEquip,15)="Vehicle-mounted",d_AppPfCaBfR="Yes"),0,IF(AND(i_Season="late (dense foliage)",i_AppMeth="Upward spraying",OR(i_AppEquip="Manual-Hand held",i_AppEquip="Manual-Knapsack")),0,INDEX(ay_OpExAOEM,MATCH(sys_KeyOperator&amp;"Protected Body",key_AOEM,0),21)))),MAX(INDEX(ay_OpExAOEM,MATCH(sys_KeyOperator&amp;"Protected Body",key_AOEM,0),22),(INDEX(ay_OpExAOEM,MATCH(sys_KeyOperator&amp;"Protected Body",key_AOEM,0),22)/d_PctExtrapolation)*i_AmountAS2)))</f>
        <v>#N/A</v>
      </c>
      <c r="H36" s="144" t="e">
        <f>IF(i_AppEquip="Manual-Trolley",Trolley!H36+MHH!H36,IF(ISBLANK(INDEX(ay_OpExAOEM,MATCH(sys_KeyOperator&amp;"Protected Body",key_AOEM,0),18)),10^(INDEX(ay_OpExAOEM,MATCH(sys_KeyOperator&amp;"Protected Body",key_AOEM,0),15)+(LOG(i_AmountAS3)*INDEX(ay_OpExAOEM,MATCH(sys_KeyOperator&amp;"Protected Body",key_AOEM,0),16))+IF(AND(i_AppMeth="Upward spraying",LEFT(i_AppEquip,15)="Vehicle-mounted",d_AppPfCaBfR="Yes"),0,IF(AND(i_Season="late (dense foliage)",i_AppMeth="Upward spraying",OR(i_AppEquip="Manual-Hand held",i_AppEquip="Manual-Knapsack")),0,INDEX(ay_OpExAOEM,MATCH(sys_KeyOperator&amp;"Protected Body",key_AOEM,0),17)))),MAX(INDEX(ay_OpExAOEM,MATCH(sys_KeyOperator&amp;"Protected Body",key_AOEM,0),18),(INDEX(ay_OpExAOEM,MATCH(sys_KeyOperator&amp;"Protected Body",key_AOEM,0),18)/d_PctExtrapolation)*i_AmountAS3)))</f>
        <v>#N/A</v>
      </c>
      <c r="I36" s="149" t="e">
        <f>IF(i_AppEquip="Manual-Trolley",Trolley!I36+MHH!I36,IF(ISBLANK(INDEX(ay_OpExAOEM,MATCH(sys_KeyOperator&amp;"Protected Body",key_AOEM,0),22)),10^(INDEX(ay_OpExAOEM,MATCH(sys_KeyOperator&amp;"Protected Body",key_AOEM,0),19)++(LOG(i_AmountAS3)*INDEX(ay_OpExAOEM,MATCH(sys_KeyOperator&amp;"Protected Body",key_AOEM,0),20))+IF(AND(i_AppMeth="Upward spraying",LEFT(i_AppEquip,15)="Vehicle-mounted",d_AppPfCaBfR="Yes"),0,IF(AND(i_Season="late (dense foliage)",i_AppMeth="Upward spraying",OR(i_AppEquip="Manual-Hand held",i_AppEquip="Manual-Knapsack")),0,INDEX(ay_OpExAOEM,MATCH(sys_KeyOperator&amp;"Protected Body",key_AOEM,0),21)))),MAX(INDEX(ay_OpExAOEM,MATCH(sys_KeyOperator&amp;"Protected Body",key_AOEM,0),22),(INDEX(ay_OpExAOEM,MATCH(sys_KeyOperator&amp;"Protected Body",key_AOEM,0),22)/d_PctExtrapolation)*i_AmountAS3)))</f>
        <v>#N/A</v>
      </c>
      <c r="J36" s="148" t="e">
        <f>IF(i_AppEquip="Manual-Trolley",Trolley!J36+MHH!J36,IF(ISBLANK(INDEX(ay_OpExAOEM,MATCH(sys_KeyOperator&amp;"Protected Body",key_AOEM,0),18)),10^(INDEX(ay_OpExAOEM,MATCH(sys_KeyOperator&amp;"Protected Body",key_AOEM,0),15)+(LOG(i_AmountAS4)*INDEX(ay_OpExAOEM,MATCH(sys_KeyOperator&amp;"Protected Body",key_AOEM,0),16))+IF(AND(i_AppMeth="Upward spraying",LEFT(i_AppEquip,15)="Vehicle-mounted",d_AppPfCaBfR="Yes"),0,IF(AND(i_Season="late (dense foliage)",i_AppMeth="Upward spraying",OR(i_AppEquip="Manual-Hand held",i_AppEquip="Manual-Knapsack")),0,INDEX(ay_OpExAOEM,MATCH(sys_KeyOperator&amp;"Protected Body",key_AOEM,0),17)))),MAX(INDEX(ay_OpExAOEM,MATCH(sys_KeyOperator&amp;"Protected Body",key_AOEM,0),18),(INDEX(ay_OpExAOEM,MATCH(sys_KeyOperator&amp;"Protected Body",key_AOEM,0),18)/d_PctExtrapolation)*i_AmountAS4)))</f>
        <v>#N/A</v>
      </c>
      <c r="K36" s="149" t="e">
        <f>IF(i_AppEquip="Manual-Trolley",Trolley!K36+MHH!K36,IF(ISBLANK(INDEX(ay_OpExAOEM,MATCH(sys_KeyOperator&amp;"Protected Body",key_AOEM,0),22)),10^(INDEX(ay_OpExAOEM,MATCH(sys_KeyOperator&amp;"Protected Body",key_AOEM,0),19)++(LOG(i_AmountAS4)*INDEX(ay_OpExAOEM,MATCH(sys_KeyOperator&amp;"Protected Body",key_AOEM,0),20))+IF(AND(i_AppMeth="Upward spraying",LEFT(i_AppEquip,15)="Vehicle-mounted",d_AppPfCaBfR="Yes"),0,IF(AND(i_Season="late (dense foliage)",i_AppMeth="Upward spraying",OR(i_AppEquip="Manual-Hand held",i_AppEquip="Manual-Knapsack")),0,INDEX(ay_OpExAOEM,MATCH(sys_KeyOperator&amp;"Protected Body",key_AOEM,0),21)))),MAX(INDEX(ay_OpExAOEM,MATCH(sys_KeyOperator&amp;"Protected Body",key_AOEM,0),22),(INDEX(ay_OpExAOEM,MATCH(sys_KeyOperator&amp;"Protected Body",key_AOEM,0),22)/d_PctExtrapolation)*i_AmountAS4)))</f>
        <v>#N/A</v>
      </c>
      <c r="L36" s="608" t="s">
        <v>419</v>
      </c>
      <c r="M36" s="927"/>
      <c r="S36" s="40"/>
      <c r="W36" s="40"/>
    </row>
    <row r="37" spans="1:23" ht="21" hidden="1" customHeight="1" thickBot="1">
      <c r="A37" s="27"/>
      <c r="B37" s="871"/>
      <c r="C37" s="142" t="s">
        <v>109</v>
      </c>
      <c r="D37" s="159" t="e">
        <f>IF(i_AppEquip="Manual-Trolley",Trolley!D37+MHH!D37,IF(ISBLANK(INDEX(ay_OpExAOEM,MATCH(sys_KeyOperator&amp;"Inhalation",key_AOEM,0),18)),10^(INDEX(ay_OpExAOEM,MATCH(sys_KeyOperator&amp;"Inhalation",key_AOEM,0),15)+(LOG(i_AmountAS1)*INDEX(ay_OpExAOEM,MATCH(sys_KeyOperator&amp;"Inhalation",key_AOEM,0),16))+IF(AND(i_AppMeth="Upward spraying",LEFT(i_AppEquip,15)="Vehicle-mounted",d_AppPfCaBfR="Yes"),0,IF(AND(i_Season="late (dense foliage)",i_AppMeth="Upward spraying",OR(i_AppEquip="Manual-Hand held",i_AppEquip="Manual-Knapsack")),0,INDEX(ay_OpExAOEM,MATCH(sys_KeyOperator&amp;"Inhalation",key_AOEM,0),17)))),MAX(INDEX(ay_OpExAOEM,MATCH(sys_KeyOperator&amp;"Inhalation",key_AOEM,0),18),(INDEX(ay_OpExAOEM,MATCH(sys_KeyOperator&amp;"Inhalation",key_AOEM,0),18)/d_PctExtrapolation)*i_AmountAS1)))</f>
        <v>#N/A</v>
      </c>
      <c r="E37" s="160" t="e">
        <f>IF(i_AppEquip="Manual-Trolley",Trolley!E37+MHH!E37,IF(ISBLANK(INDEX(ay_OpExAOEM,MATCH(sys_KeyOperator&amp;"Inhalation",key_AOEM,0),22)),10^(INDEX(ay_OpExAOEM,MATCH(sys_KeyOperator&amp;"Inhalation",key_AOEM,0),19)+(LOG(i_AmountAS1)*INDEX(ay_OpExAOEM,MATCH(sys_KeyOperator&amp;"Inhalation",key_AOEM,0),20))+IF(AND(i_AppMeth="Upward spraying",LEFT(i_AppEquip,15)="Vehicle-mounted",d_AppPfCaBfR="Yes"),0,IF(AND(i_Season="late (dense foliage)",i_AppMeth="Upward spraying",OR(i_AppEquip="Manual-Hand held",i_AppEquip="Manual-Knapsack")),0,INDEX(ay_OpExAOEM,MATCH(sys_KeyOperator&amp;"Inhalation",key_AOEM,0),21)))),MAX(INDEX(ay_OpExAOEM,MATCH(sys_KeyOperator&amp;"Inhalation",key_AOEM,0),22),(INDEX(ay_OpExAOEM,MATCH(sys_KeyOperator&amp;"Inhalation",key_AOEM,0),22)/d_PctExtrapolation)*i_AmountAS1)))</f>
        <v>#N/A</v>
      </c>
      <c r="F37" s="159" t="e">
        <f>IF(i_AppEquip="Manual-Trolley",Trolley!F37+MHH!F37,IF(ISBLANK(INDEX(ay_OpExAOEM,MATCH(sys_KeyOperator&amp;"Inhalation",key_AOEM,0),18)),10^(INDEX(ay_OpExAOEM,MATCH(sys_KeyOperator&amp;"Inhalation",key_AOEM,0),15)+(LOG(i_AmountAS2)*INDEX(ay_OpExAOEM,MATCH(sys_KeyOperator&amp;"Inhalation",key_AOEM,0),16))+IF(AND(i_AppMeth="Upward spraying",LEFT(i_AppEquip,15)="Vehicle-mounted",d_AppPfCaBfR="Yes"),0,IF(AND(i_Season="late (dense foliage)",i_AppMeth="Upward spraying",OR(i_AppEquip="Manual-Hand held",i_AppEquip="Manual-Knapsack")),0,INDEX(ay_OpExAOEM,MATCH(sys_KeyOperator&amp;"Inhalation",key_AOEM,0),17)))),MAX(INDEX(ay_OpExAOEM,MATCH(sys_KeyOperator&amp;"Inhalation",key_AOEM,0),18),(INDEX(ay_OpExAOEM,MATCH(sys_KeyOperator&amp;"Inhalation",key_AOEM,0),18)/d_PctExtrapolation)*i_AmountAS2)))</f>
        <v>#N/A</v>
      </c>
      <c r="G37" s="160" t="e">
        <f>IF(i_AppEquip="Manual-Trolley",Trolley!G37+MHH!G37,IF(ISBLANK(INDEX(ay_OpExAOEM,MATCH(sys_KeyOperator&amp;"Inhalation",key_AOEM,0),22)),10^(INDEX(ay_OpExAOEM,MATCH(sys_KeyOperator&amp;"Inhalation",key_AOEM,0),19)+(LOG(i_AmountAS2)*INDEX(ay_OpExAOEM,MATCH(sys_KeyOperator&amp;"Inhalation",key_AOEM,0),20))+IF(AND(i_AppMeth="Upward spraying",LEFT(i_AppEquip,15)="Vehicle-mounted",d_AppPfCaBfR="Yes"),0,IF(AND(i_Season="late (dense foliage)",i_AppMeth="Upward spraying",OR(i_AppEquip="Manual-Hand held",i_AppEquip="Manual-Knapsack")),0,INDEX(ay_OpExAOEM,MATCH(sys_KeyOperator&amp;"Inhalation",key_AOEM,0),21)))),MAX(INDEX(ay_OpExAOEM,MATCH(sys_KeyOperator&amp;"Inhalation",key_AOEM,0),22),(INDEX(ay_OpExAOEM,MATCH(sys_KeyOperator&amp;"Inhalation",key_AOEM,0),22)/d_PctExtrapolation)*i_AmountAS2)))</f>
        <v>#N/A</v>
      </c>
      <c r="H37" s="161" t="e">
        <f>IF(i_AppEquip="Manual-Trolley",Trolley!H37+MHH!H37,IF(ISBLANK(INDEX(ay_OpExAOEM,MATCH(sys_KeyOperator&amp;"Inhalation",key_AOEM,0),18)),10^(INDEX(ay_OpExAOEM,MATCH(sys_KeyOperator&amp;"Inhalation",key_AOEM,0),15)+(LOG(i_AmountAS3)*INDEX(ay_OpExAOEM,MATCH(sys_KeyOperator&amp;"Inhalation",key_AOEM,0),16))+IF(AND(i_AppMeth="Upward spraying",LEFT(i_AppEquip,15)="Vehicle-mounted",d_AppPfCaBfR="Yes"),0,IF(AND(i_Season="late (dense foliage)",i_AppMeth="Upward spraying",OR(i_AppEquip="Manual-Hand held",i_AppEquip="Manual-Knapsack")),0,INDEX(ay_OpExAOEM,MATCH(sys_KeyOperator&amp;"Inhalation",key_AOEM,0),17)))),MAX(INDEX(ay_OpExAOEM,MATCH(sys_KeyOperator&amp;"Inhalation",key_AOEM,0),18),(INDEX(ay_OpExAOEM,MATCH(sys_KeyOperator&amp;"Inhalation",key_AOEM,0),18)/d_PctExtrapolation)*i_AmountAS3)))</f>
        <v>#N/A</v>
      </c>
      <c r="I37" s="160" t="e">
        <f>IF(i_AppEquip="Manual-Trolley",Trolley!I37+MHH!I37,IF(ISBLANK(INDEX(ay_OpExAOEM,MATCH(sys_KeyOperator&amp;"Inhalation",key_AOEM,0),22)),10^(INDEX(ay_OpExAOEM,MATCH(sys_KeyOperator&amp;"Inhalation",key_AOEM,0),19)+(LOG(i_AmountAS3)*INDEX(ay_OpExAOEM,MATCH(sys_KeyOperator&amp;"Inhalation",key_AOEM,0),20))+IF(AND(i_AppMeth="Upward spraying",LEFT(i_AppEquip,15)="Vehicle-mounted",d_AppPfCaBfR="Yes"),0,IF(AND(i_Season="late (dense foliage)",i_AppMeth="Upward spraying",OR(i_AppEquip="Manual-Hand held",i_AppEquip="Manual-Knapsack")),0,INDEX(ay_OpExAOEM,MATCH(sys_KeyOperator&amp;"Inhalation",key_AOEM,0),21)))),MAX(INDEX(ay_OpExAOEM,MATCH(sys_KeyOperator&amp;"Inhalation",key_AOEM,0),22),(INDEX(ay_OpExAOEM,MATCH(sys_KeyOperator&amp;"Inhalation",key_AOEM,0),22)/d_PctExtrapolation)*i_AmountAS3)))</f>
        <v>#N/A</v>
      </c>
      <c r="J37" s="159" t="e">
        <f>IF(i_AppEquip="Manual-Trolley",Trolley!J37+MHH!J37,IF(ISBLANK(INDEX(ay_OpExAOEM,MATCH(sys_KeyOperator&amp;"Inhalation",key_AOEM,0),18)),10^(INDEX(ay_OpExAOEM,MATCH(sys_KeyOperator&amp;"Inhalation",key_AOEM,0),15)+(LOG(i_AmountAS4)*INDEX(ay_OpExAOEM,MATCH(sys_KeyOperator&amp;"Inhalation",key_AOEM,0),16))+IF(AND(i_AppMeth="Upward spraying",LEFT(i_AppEquip,15)="Vehicle-mounted",d_AppPfCaBfR="Yes"),0,IF(AND(i_Season="late (dense foliage)",i_AppMeth="Upward spraying",OR(i_AppEquip="Manual-Hand held",i_AppEquip="Manual-Knapsack")),0,INDEX(ay_OpExAOEM,MATCH(sys_KeyOperator&amp;"Inhalation",key_AOEM,0),17)))),MAX(INDEX(ay_OpExAOEM,MATCH(sys_KeyOperator&amp;"Inhalation",key_AOEM,0),18),(INDEX(ay_OpExAOEM,MATCH(sys_KeyOperator&amp;"Inhalation",key_AOEM,0),18)/d_PctExtrapolation)*i_AmountAS4)))</f>
        <v>#N/A</v>
      </c>
      <c r="K37" s="160" t="e">
        <f>IF(i_AppEquip="Manual-Trolley",Trolley!K37+MHH!K37,IF(ISBLANK(INDEX(ay_OpExAOEM,MATCH(sys_KeyOperator&amp;"Inhalation",key_AOEM,0),22)),10^(INDEX(ay_OpExAOEM,MATCH(sys_KeyOperator&amp;"Inhalation",key_AOEM,0),19)+(LOG(i_AmountAS4)*INDEX(ay_OpExAOEM,MATCH(sys_KeyOperator&amp;"Inhalation",key_AOEM,0),20))+IF(AND(i_AppMeth="Upward spraying",LEFT(i_AppEquip,15)="Vehicle-mounted",d_AppPfCaBfR="Yes"),0,IF(AND(i_Season="late (dense foliage)",i_AppMeth="Upward spraying",OR(i_AppEquip="Manual-Hand held",i_AppEquip="Manual-Knapsack")),0,INDEX(ay_OpExAOEM,MATCH(sys_KeyOperator&amp;"Inhalation",key_AOEM,0),21)))),MAX(INDEX(ay_OpExAOEM,MATCH(sys_KeyOperator&amp;"Inhalation",key_AOEM,0),22),(INDEX(ay_OpExAOEM,MATCH(sys_KeyOperator&amp;"Inhalation",key_AOEM,0),22)/d_PctExtrapolation)*i_AmountAS4)))</f>
        <v>#N/A</v>
      </c>
      <c r="L37" s="609" t="s">
        <v>419</v>
      </c>
      <c r="M37" s="927"/>
      <c r="S37" s="40"/>
      <c r="W37" s="40"/>
    </row>
    <row r="38" spans="1:23" ht="30.75" thickBot="1">
      <c r="A38" s="27"/>
      <c r="B38" s="871"/>
      <c r="C38" s="336" t="s">
        <v>424</v>
      </c>
      <c r="D38" s="916" t="s">
        <v>425</v>
      </c>
      <c r="E38" s="917"/>
      <c r="F38" s="691"/>
      <c r="G38" s="692"/>
      <c r="H38" s="692"/>
      <c r="I38" s="692"/>
      <c r="J38" s="692"/>
      <c r="K38" s="693"/>
      <c r="L38" s="694" t="s">
        <v>426</v>
      </c>
      <c r="M38" s="695" t="s">
        <v>427</v>
      </c>
      <c r="S38" s="41"/>
      <c r="W38" s="41"/>
    </row>
    <row r="39" spans="1:23" ht="30" customHeight="1" thickBot="1">
      <c r="A39" s="27"/>
      <c r="B39" s="871"/>
      <c r="C39" s="141" t="s">
        <v>428</v>
      </c>
      <c r="D39" s="935" t="s">
        <v>455</v>
      </c>
      <c r="E39" s="936"/>
      <c r="F39" s="281"/>
      <c r="G39" s="31"/>
      <c r="H39" s="31"/>
      <c r="I39" s="31"/>
      <c r="J39" s="31"/>
      <c r="K39" s="163"/>
      <c r="L39" s="610" t="str">
        <f>IF(D39="Yes","Incl. in AOEM model","")</f>
        <v/>
      </c>
      <c r="M39" s="443"/>
      <c r="S39" s="41"/>
      <c r="W39" s="41"/>
    </row>
    <row r="40" spans="1:23" ht="30" customHeight="1" thickBot="1">
      <c r="A40" s="27"/>
      <c r="B40" s="871"/>
      <c r="C40" s="138" t="s">
        <v>429</v>
      </c>
      <c r="D40" s="907" t="s">
        <v>456</v>
      </c>
      <c r="E40" s="908"/>
      <c r="F40" s="281"/>
      <c r="G40" s="31"/>
      <c r="H40" s="31"/>
      <c r="I40" s="31"/>
      <c r="J40" s="31"/>
      <c r="K40" s="163"/>
      <c r="L40" s="614" t="s">
        <v>430</v>
      </c>
      <c r="M40" s="444"/>
      <c r="S40" s="41"/>
      <c r="W40" s="41"/>
    </row>
    <row r="41" spans="1:23" ht="30" customHeight="1" thickBot="1">
      <c r="A41" s="27"/>
      <c r="B41" s="871"/>
      <c r="C41" s="284" t="s">
        <v>457</v>
      </c>
      <c r="D41" s="689" t="s">
        <v>458</v>
      </c>
      <c r="E41" s="690" t="s">
        <v>458</v>
      </c>
      <c r="F41" s="618" t="str">
        <f>IF(AND(AppHeadResPPE="Hood and face shield",E41&lt;&gt;"none"),"← Please deselect RPE","")</f>
        <v/>
      </c>
      <c r="G41" s="31"/>
      <c r="H41" s="31"/>
      <c r="I41" s="31"/>
      <c r="J41" s="31"/>
      <c r="K41" s="163"/>
      <c r="L41" s="709">
        <f>MIN(INDEX(ay_MixPPEHead,MATCH(D41,key_MixPPEHead,0),2),INDEX(ay_MixPPEHead,MATCH(E41,key_MixPPEHead,0),2))</f>
        <v>1</v>
      </c>
      <c r="M41" s="710">
        <f>INDEX(ay_MixRPE,MATCH(E41,key_MixRPE,0),2)</f>
        <v>1</v>
      </c>
      <c r="S41" s="41"/>
      <c r="W41" s="41"/>
    </row>
    <row r="42" spans="1:23" ht="15.75" thickBot="1">
      <c r="A42" s="27"/>
      <c r="B42" s="872"/>
      <c r="C42" s="143" t="s">
        <v>434</v>
      </c>
      <c r="D42" s="932" t="s">
        <v>459</v>
      </c>
      <c r="E42" s="933"/>
      <c r="F42" s="282"/>
      <c r="G42" s="283"/>
      <c r="H42" s="283"/>
      <c r="I42" s="283"/>
      <c r="J42" s="283"/>
      <c r="K42" s="164"/>
      <c r="L42" s="911" t="str">
        <f>IF(i_AppEquip&amp;i_AppMeth&lt;&gt;"Vehicle-mountedUpward spraying","Vehicle-mounted upward spraying only","")</f>
        <v>Vehicle-mounted upward spraying only</v>
      </c>
      <c r="M42" s="912"/>
      <c r="S42" s="41"/>
      <c r="W42" s="41"/>
    </row>
    <row r="43" spans="1:23" ht="15.75" thickBot="1">
      <c r="B43" s="43"/>
      <c r="E43" s="21"/>
      <c r="F43" s="21"/>
      <c r="G43" s="21"/>
    </row>
    <row r="44" spans="1:23" ht="19.5" thickBot="1">
      <c r="B44" s="44" t="s">
        <v>436</v>
      </c>
      <c r="D44" s="859">
        <f>i_SubstName1</f>
        <v>0</v>
      </c>
      <c r="E44" s="860"/>
      <c r="F44" s="859">
        <f>i_SubstName2</f>
        <v>0</v>
      </c>
      <c r="G44" s="860"/>
      <c r="H44" s="859">
        <f>i_SubstName3</f>
        <v>0</v>
      </c>
      <c r="I44" s="860"/>
      <c r="J44" s="859">
        <f>i_SubstName4</f>
        <v>0</v>
      </c>
      <c r="K44" s="860"/>
      <c r="L44" s="859" t="s">
        <v>370</v>
      </c>
      <c r="M44" s="860"/>
    </row>
    <row r="45" spans="1:23" ht="15" customHeight="1" thickBot="1">
      <c r="B45" s="196"/>
      <c r="C45" s="197"/>
      <c r="D45" s="332" t="s">
        <v>437</v>
      </c>
      <c r="E45" s="333" t="s">
        <v>438</v>
      </c>
      <c r="F45" s="332" t="s">
        <v>437</v>
      </c>
      <c r="G45" s="333" t="s">
        <v>438</v>
      </c>
      <c r="H45" s="332" t="s">
        <v>437</v>
      </c>
      <c r="I45" s="333" t="s">
        <v>438</v>
      </c>
      <c r="J45" s="332" t="s">
        <v>437</v>
      </c>
      <c r="K45" s="333" t="s">
        <v>438</v>
      </c>
      <c r="L45" s="615" t="s">
        <v>437</v>
      </c>
      <c r="M45" s="333" t="s">
        <v>438</v>
      </c>
    </row>
    <row r="46" spans="1:23" ht="33.75" customHeight="1" thickBot="1">
      <c r="B46" s="846" t="s">
        <v>439</v>
      </c>
      <c r="C46" s="847"/>
      <c r="D46" s="847"/>
      <c r="E46" s="847"/>
      <c r="F46" s="847"/>
      <c r="G46" s="847"/>
      <c r="H46" s="847"/>
      <c r="I46" s="847"/>
      <c r="J46" s="847"/>
      <c r="K46" s="847"/>
      <c r="L46" s="847"/>
      <c r="M46" s="848"/>
    </row>
    <row r="47" spans="1:23" ht="33" customHeight="1">
      <c r="B47" s="849" t="s">
        <v>460</v>
      </c>
      <c r="C47" s="850"/>
      <c r="D47" s="384" t="e">
        <f>(D63+D79)</f>
        <v>#N/A</v>
      </c>
      <c r="E47" s="385" t="e">
        <f>(D70+D85)</f>
        <v>#N/A</v>
      </c>
      <c r="F47" s="384" t="e">
        <f>(F63+F79)</f>
        <v>#N/A</v>
      </c>
      <c r="G47" s="385" t="e">
        <f>(F70+F85)</f>
        <v>#N/A</v>
      </c>
      <c r="H47" s="384" t="e">
        <f>(H63+H79)</f>
        <v>#N/A</v>
      </c>
      <c r="I47" s="385" t="e">
        <f>(H70+H85)</f>
        <v>#N/A</v>
      </c>
      <c r="J47" s="381" t="e">
        <f>(J63+J79)</f>
        <v>#N/A</v>
      </c>
      <c r="K47" s="309" t="e">
        <f>(J70+J85)</f>
        <v>#N/A</v>
      </c>
      <c r="L47" s="616"/>
      <c r="M47" s="428"/>
    </row>
    <row r="48" spans="1:23" ht="43.5" customHeight="1">
      <c r="B48" s="842" t="s">
        <v>461</v>
      </c>
      <c r="C48" s="843"/>
      <c r="D48" s="665" t="e">
        <f t="shared" ref="D48:K48" si="0">D47/d_BwAdult</f>
        <v>#N/A</v>
      </c>
      <c r="E48" s="256" t="e">
        <f t="shared" si="0"/>
        <v>#N/A</v>
      </c>
      <c r="F48" s="665" t="e">
        <f t="shared" si="0"/>
        <v>#N/A</v>
      </c>
      <c r="G48" s="256" t="e">
        <f t="shared" si="0"/>
        <v>#N/A</v>
      </c>
      <c r="H48" s="665" t="e">
        <f t="shared" si="0"/>
        <v>#N/A</v>
      </c>
      <c r="I48" s="256" t="e">
        <f t="shared" si="0"/>
        <v>#N/A</v>
      </c>
      <c r="J48" s="382" t="e">
        <f t="shared" si="0"/>
        <v>#N/A</v>
      </c>
      <c r="K48" s="256" t="e">
        <f t="shared" si="0"/>
        <v>#N/A</v>
      </c>
      <c r="L48" s="909" t="s">
        <v>462</v>
      </c>
      <c r="M48" s="910"/>
    </row>
    <row r="49" spans="2:19" ht="27" customHeight="1" thickBot="1">
      <c r="B49" s="851" t="s">
        <v>442</v>
      </c>
      <c r="C49" s="852"/>
      <c r="D49" s="373">
        <f>IFERROR(D48/i_AOEL1,0)</f>
        <v>0</v>
      </c>
      <c r="E49" s="374">
        <f>IFERROR(E48/i_AOEL1,0)</f>
        <v>0</v>
      </c>
      <c r="F49" s="373">
        <f>IFERROR(F48/i_AOEL2,0)</f>
        <v>0</v>
      </c>
      <c r="G49" s="374">
        <f>IFERROR(G48/i_AOEL2,0)</f>
        <v>0</v>
      </c>
      <c r="H49" s="373">
        <f>IFERROR(H48/i_AOEL3,0)</f>
        <v>0</v>
      </c>
      <c r="I49" s="374">
        <f>IFERROR(I48/i_AOEL3,0)</f>
        <v>0</v>
      </c>
      <c r="J49" s="383">
        <f>IFERROR(J48/i_AOEL4,0)</f>
        <v>0</v>
      </c>
      <c r="K49" s="374">
        <f>IFERROR(K48/i_AOEL4,0)</f>
        <v>0</v>
      </c>
      <c r="L49" s="617" t="str">
        <f>IF(COUNTA('Data entry'!D26:G26)&lt;2,"N/A",FIXED(D49+F49+H49+J49,3))</f>
        <v>N/A</v>
      </c>
      <c r="M49" s="376" t="str">
        <f>IF(COUNTA('Data entry'!D26:G26)&lt;2,"N/A",FIXED(E49+G49+I49+K49,3))</f>
        <v>N/A</v>
      </c>
    </row>
    <row r="50" spans="2:19" ht="34.5" customHeight="1" thickBot="1">
      <c r="B50" s="846" t="s">
        <v>443</v>
      </c>
      <c r="C50" s="847"/>
      <c r="D50" s="847"/>
      <c r="E50" s="847"/>
      <c r="F50" s="847"/>
      <c r="G50" s="847"/>
      <c r="H50" s="847"/>
      <c r="I50" s="847"/>
      <c r="J50" s="847"/>
      <c r="K50" s="847"/>
      <c r="L50" s="847"/>
      <c r="M50" s="848"/>
    </row>
    <row r="51" spans="2:19" ht="45" customHeight="1">
      <c r="B51" s="849" t="s">
        <v>460</v>
      </c>
      <c r="C51" s="850"/>
      <c r="D51" s="384" t="e">
        <f>(D95+D111)</f>
        <v>#N/A</v>
      </c>
      <c r="E51" s="385" t="e">
        <f>(D102+D117)</f>
        <v>#N/A</v>
      </c>
      <c r="F51" s="384" t="e">
        <f>(F95+F111)</f>
        <v>#N/A</v>
      </c>
      <c r="G51" s="385" t="e">
        <f>(F102+F117)</f>
        <v>#N/A</v>
      </c>
      <c r="H51" s="384" t="e">
        <f>(H95+H111)</f>
        <v>#N/A</v>
      </c>
      <c r="I51" s="385" t="e">
        <f>(H102+H117)</f>
        <v>#N/A</v>
      </c>
      <c r="J51" s="381" t="e">
        <f>(J95+J111)</f>
        <v>#N/A</v>
      </c>
      <c r="K51" s="309" t="e">
        <f>(J102+J117)</f>
        <v>#N/A</v>
      </c>
      <c r="L51" s="616"/>
      <c r="M51" s="428"/>
    </row>
    <row r="52" spans="2:19" ht="44.25" customHeight="1">
      <c r="B52" s="842" t="s">
        <v>461</v>
      </c>
      <c r="C52" s="843"/>
      <c r="D52" s="665" t="e">
        <f t="shared" ref="D52:K52" si="1">D51/d_BwAdult</f>
        <v>#N/A</v>
      </c>
      <c r="E52" s="256" t="e">
        <f t="shared" si="1"/>
        <v>#N/A</v>
      </c>
      <c r="F52" s="665" t="e">
        <f t="shared" si="1"/>
        <v>#N/A</v>
      </c>
      <c r="G52" s="256" t="e">
        <f t="shared" si="1"/>
        <v>#N/A</v>
      </c>
      <c r="H52" s="665" t="e">
        <f t="shared" si="1"/>
        <v>#N/A</v>
      </c>
      <c r="I52" s="256" t="e">
        <f t="shared" si="1"/>
        <v>#N/A</v>
      </c>
      <c r="J52" s="382" t="e">
        <f t="shared" si="1"/>
        <v>#N/A</v>
      </c>
      <c r="K52" s="256" t="e">
        <f t="shared" si="1"/>
        <v>#N/A</v>
      </c>
      <c r="L52" s="909" t="s">
        <v>462</v>
      </c>
      <c r="M52" s="910"/>
    </row>
    <row r="53" spans="2:19" ht="27" customHeight="1" thickBot="1">
      <c r="B53" s="48" t="s">
        <v>444</v>
      </c>
      <c r="C53" s="49"/>
      <c r="D53" s="373">
        <f>IFERROR(D52/i_AAOEL1,0)</f>
        <v>0</v>
      </c>
      <c r="E53" s="374">
        <f>IFERROR(E52/i_AAOEL1,0)</f>
        <v>0</v>
      </c>
      <c r="F53" s="373">
        <f>IFERROR(F52/i_AAOEL2,0)</f>
        <v>0</v>
      </c>
      <c r="G53" s="374">
        <f>IFERROR(G52/i_AAOEL2,0)</f>
        <v>0</v>
      </c>
      <c r="H53" s="373">
        <f>IFERROR(H52/i_AAOEL3,0)</f>
        <v>0</v>
      </c>
      <c r="I53" s="374">
        <f>IFERROR(I52/i_AAOEL3,0)</f>
        <v>0</v>
      </c>
      <c r="J53" s="383">
        <f>IFERROR(J52/i_AAOEL4,0)</f>
        <v>0</v>
      </c>
      <c r="K53" s="374">
        <f>IFERROR(K52/i_AAOEL4,0)</f>
        <v>0</v>
      </c>
      <c r="L53" s="617" t="str">
        <f>IF(COUNTA('Data entry'!D27:G27)&lt;2,"N/A",FIXED(D53+F53+H53+J53,3))</f>
        <v>N/A</v>
      </c>
      <c r="M53" s="374" t="str">
        <f>IF(COUNTA('Data entry'!D27:G28)&lt;2,"N/A",FIXED(E53+G53+I53+K53,3))</f>
        <v>N/A</v>
      </c>
    </row>
    <row r="54" spans="2:19">
      <c r="D54" s="644"/>
      <c r="E54" s="844"/>
      <c r="F54" s="844"/>
      <c r="G54" s="644"/>
      <c r="H54" s="50"/>
    </row>
    <row r="55" spans="2:19" ht="15.75" thickBot="1">
      <c r="B55" s="51" t="s">
        <v>445</v>
      </c>
      <c r="D55" s="644"/>
      <c r="E55" s="845"/>
      <c r="F55" s="845"/>
      <c r="G55" s="644"/>
    </row>
    <row r="56" spans="2:19" ht="18.75">
      <c r="B56" s="51" t="s">
        <v>446</v>
      </c>
      <c r="D56" s="837">
        <f>i_SubstName1</f>
        <v>0</v>
      </c>
      <c r="E56" s="838"/>
      <c r="F56" s="837">
        <f>i_SubstName2</f>
        <v>0</v>
      </c>
      <c r="G56" s="838"/>
      <c r="H56" s="837">
        <f>i_SubstName3</f>
        <v>0</v>
      </c>
      <c r="I56" s="838"/>
      <c r="J56" s="837">
        <f>i_SubstName4</f>
        <v>0</v>
      </c>
      <c r="K56" s="838"/>
      <c r="L56" s="362"/>
      <c r="S56" s="362"/>
    </row>
    <row r="57" spans="2:19" ht="30">
      <c r="B57" s="839"/>
      <c r="C57" s="840"/>
      <c r="D57" s="656" t="s">
        <v>447</v>
      </c>
      <c r="E57" s="653" t="s">
        <v>448</v>
      </c>
      <c r="F57" s="656" t="s">
        <v>447</v>
      </c>
      <c r="G57" s="653" t="s">
        <v>448</v>
      </c>
      <c r="H57" s="153" t="s">
        <v>447</v>
      </c>
      <c r="I57" s="154" t="s">
        <v>448</v>
      </c>
      <c r="J57" s="153" t="s">
        <v>447</v>
      </c>
      <c r="K57" s="154" t="s">
        <v>448</v>
      </c>
      <c r="L57" s="362"/>
      <c r="S57" s="362"/>
    </row>
    <row r="58" spans="2:19" ht="15" customHeight="1">
      <c r="B58" s="835" t="s">
        <v>437</v>
      </c>
      <c r="C58" s="836"/>
      <c r="D58" s="656"/>
      <c r="E58" s="653"/>
      <c r="F58" s="656"/>
      <c r="G58" s="653"/>
      <c r="H58" s="61"/>
      <c r="I58" s="154"/>
      <c r="J58" s="61"/>
      <c r="K58" s="154"/>
      <c r="L58" s="362"/>
      <c r="S58" s="362"/>
    </row>
    <row r="59" spans="2:19" ht="15" customHeight="1">
      <c r="B59" s="831" t="s">
        <v>418</v>
      </c>
      <c r="C59" s="832"/>
      <c r="D59" s="668" t="e">
        <f>D17*i_AbsorpProduct1/1000</f>
        <v>#N/A</v>
      </c>
      <c r="E59" s="256" t="e">
        <f>D59/d_BwAdult</f>
        <v>#N/A</v>
      </c>
      <c r="F59" s="668" t="e">
        <f>F17*i_AbsorpProduct2/1000</f>
        <v>#N/A</v>
      </c>
      <c r="G59" s="256" t="e">
        <f>F59/d_BwAdult</f>
        <v>#N/A</v>
      </c>
      <c r="H59" s="668" t="e">
        <f>H17*i_AbsorpProduct3/1000</f>
        <v>#N/A</v>
      </c>
      <c r="I59" s="256" t="e">
        <f>H59/d_BwAdult</f>
        <v>#N/A</v>
      </c>
      <c r="J59" s="668" t="e">
        <f>J17*i_AbsorpProduct4/1000</f>
        <v>#N/A</v>
      </c>
      <c r="K59" s="256" t="e">
        <f>J59/d_BwAdult</f>
        <v>#N/A</v>
      </c>
      <c r="L59" s="368"/>
      <c r="M59" s="368"/>
      <c r="P59" s="368"/>
      <c r="S59" s="362"/>
    </row>
    <row r="60" spans="2:19">
      <c r="B60" s="831" t="s">
        <v>420</v>
      </c>
      <c r="C60" s="832"/>
      <c r="D60" s="668" t="e">
        <f>D18*i_AbsorpProduct1/1000</f>
        <v>#N/A</v>
      </c>
      <c r="E60" s="256" t="e">
        <f>D60/d_BwAdult</f>
        <v>#N/A</v>
      </c>
      <c r="F60" s="668" t="e">
        <f>F18*i_AbsorpProduct2/1000</f>
        <v>#N/A</v>
      </c>
      <c r="G60" s="256" t="e">
        <f>F60/d_BwAdult</f>
        <v>#N/A</v>
      </c>
      <c r="H60" s="668" t="e">
        <f>H18*i_AbsorpProduct3/1000</f>
        <v>#N/A</v>
      </c>
      <c r="I60" s="256" t="e">
        <f>H60/d_BwAdult</f>
        <v>#N/A</v>
      </c>
      <c r="J60" s="668" t="e">
        <f>J18*i_AbsorpProduct4/1000</f>
        <v>#N/A</v>
      </c>
      <c r="K60" s="256" t="e">
        <f>J60/d_BwAdult</f>
        <v>#N/A</v>
      </c>
      <c r="L60" s="368"/>
      <c r="M60" s="368"/>
      <c r="P60" s="368"/>
      <c r="S60" s="362"/>
    </row>
    <row r="61" spans="2:19">
      <c r="B61" s="831" t="s">
        <v>104</v>
      </c>
      <c r="C61" s="832"/>
      <c r="D61" s="668" t="e">
        <f>D19*i_AbsorpProduct1/1000</f>
        <v>#N/A</v>
      </c>
      <c r="E61" s="256" t="e">
        <f>D61/d_BwAdult</f>
        <v>#N/A</v>
      </c>
      <c r="F61" s="668" t="e">
        <f>F19*i_AbsorpProduct2/1000</f>
        <v>#N/A</v>
      </c>
      <c r="G61" s="256" t="e">
        <f>F61/d_BwAdult</f>
        <v>#N/A</v>
      </c>
      <c r="H61" s="668" t="e">
        <f>H19*i_AbsorpProduct3/1000</f>
        <v>#N/A</v>
      </c>
      <c r="I61" s="256" t="e">
        <f>H61/d_BwAdult</f>
        <v>#N/A</v>
      </c>
      <c r="J61" s="668" t="e">
        <f>J19*i_AbsorpProduct4/1000</f>
        <v>#N/A</v>
      </c>
      <c r="K61" s="256" t="e">
        <f>J61/d_BwAdult</f>
        <v>#N/A</v>
      </c>
      <c r="L61" s="368"/>
      <c r="M61" s="368"/>
      <c r="P61" s="368"/>
      <c r="S61" s="362"/>
    </row>
    <row r="62" spans="2:19">
      <c r="B62" s="831" t="s">
        <v>109</v>
      </c>
      <c r="C62" s="832"/>
      <c r="D62" s="668" t="e">
        <f>D23*i_AbsorpInhalation1/1000</f>
        <v>#N/A</v>
      </c>
      <c r="E62" s="256" t="e">
        <f>D62/d_BwAdult</f>
        <v>#N/A</v>
      </c>
      <c r="F62" s="668" t="e">
        <f>F23*i_AbsorpInhalation2/1000</f>
        <v>#N/A</v>
      </c>
      <c r="G62" s="256" t="e">
        <f>F62/d_BwAdult</f>
        <v>#N/A</v>
      </c>
      <c r="H62" s="668" t="e">
        <f>H23*i_AbsorpInhalation3/1000</f>
        <v>#N/A</v>
      </c>
      <c r="I62" s="256" t="e">
        <f>H62/d_BwAdult</f>
        <v>#N/A</v>
      </c>
      <c r="J62" s="668" t="e">
        <f>J23*i_AbsorpInhalation4/1000</f>
        <v>#N/A</v>
      </c>
      <c r="K62" s="256" t="e">
        <f>J62/d_BwAdult</f>
        <v>#N/A</v>
      </c>
      <c r="L62" s="368"/>
      <c r="M62" s="368"/>
      <c r="P62" s="368"/>
      <c r="S62" s="362"/>
    </row>
    <row r="63" spans="2:19" ht="15" customHeight="1">
      <c r="B63" s="833" t="s">
        <v>449</v>
      </c>
      <c r="C63" s="834"/>
      <c r="D63" s="668" t="e">
        <f>D59+D60+D61+D62</f>
        <v>#N/A</v>
      </c>
      <c r="E63" s="256" t="e">
        <f>D63/d_BwAdult</f>
        <v>#N/A</v>
      </c>
      <c r="F63" s="668" t="e">
        <f>F59+F60+F61+F62</f>
        <v>#N/A</v>
      </c>
      <c r="G63" s="256" t="e">
        <f>F63/d_BwAdult</f>
        <v>#N/A</v>
      </c>
      <c r="H63" s="668" t="e">
        <f>H59+H60+H61+H62</f>
        <v>#N/A</v>
      </c>
      <c r="I63" s="256" t="e">
        <f>H63/d_BwAdult</f>
        <v>#N/A</v>
      </c>
      <c r="J63" s="668" t="e">
        <f>J59+J60+J61+J62</f>
        <v>#N/A</v>
      </c>
      <c r="K63" s="256" t="e">
        <f>J63/d_BwAdult</f>
        <v>#N/A</v>
      </c>
      <c r="L63" s="368"/>
      <c r="M63" s="368"/>
      <c r="P63" s="368"/>
      <c r="S63" s="362"/>
    </row>
    <row r="64" spans="2:19" ht="15" customHeight="1">
      <c r="B64" s="835" t="s">
        <v>450</v>
      </c>
      <c r="C64" s="836"/>
      <c r="D64" s="310"/>
      <c r="E64" s="311"/>
      <c r="F64" s="310"/>
      <c r="G64" s="311"/>
      <c r="H64" s="310"/>
      <c r="I64" s="311"/>
      <c r="J64" s="310"/>
      <c r="K64" s="311"/>
      <c r="L64" s="368"/>
      <c r="M64" s="368"/>
      <c r="P64" s="368"/>
      <c r="S64" s="362"/>
    </row>
    <row r="65" spans="2:19" ht="15" customHeight="1">
      <c r="B65" s="831" t="s">
        <v>418</v>
      </c>
      <c r="C65" s="832"/>
      <c r="D65" s="668" t="e">
        <f>IF(ML_Gloves="Yes", D20,D17)*i_AbsorpProduct1/1000</f>
        <v>#N/A</v>
      </c>
      <c r="E65" s="256" t="e">
        <f t="shared" ref="E65:E70" si="2">D65/d_BwAdult</f>
        <v>#N/A</v>
      </c>
      <c r="F65" s="668" t="e">
        <f>IF(D25="Yes", F20,F17)*i_AbsorpProduct2/1000</f>
        <v>#N/A</v>
      </c>
      <c r="G65" s="256" t="e">
        <f t="shared" ref="G65:G70" si="3">F65/d_BwAdult</f>
        <v>#N/A</v>
      </c>
      <c r="H65" s="668" t="e">
        <f>IF(D25="Yes", H20,H17)*i_AbsorpProduct3/1000</f>
        <v>#N/A</v>
      </c>
      <c r="I65" s="256" t="e">
        <f t="shared" ref="I65:I70" si="4">H65/d_BwAdult</f>
        <v>#N/A</v>
      </c>
      <c r="J65" s="668" t="e">
        <f>IF(D25="Yes", J20,J17)*i_AbsorpProduct4/1000</f>
        <v>#N/A</v>
      </c>
      <c r="K65" s="256" t="e">
        <f t="shared" ref="K65:K70" si="5">J65/d_BwAdult</f>
        <v>#N/A</v>
      </c>
      <c r="L65" s="368"/>
      <c r="M65" s="368"/>
      <c r="P65" s="368"/>
      <c r="S65" s="362"/>
    </row>
    <row r="66" spans="2:19">
      <c r="B66" s="831" t="s">
        <v>420</v>
      </c>
      <c r="C66" s="832"/>
      <c r="D66" s="668" t="e">
        <f>IF($D$26&lt;&gt;"Potential exposure",D21,D18)*i_AbsorpProduct1/1000</f>
        <v>#N/A</v>
      </c>
      <c r="E66" s="256" t="e">
        <f t="shared" si="2"/>
        <v>#N/A</v>
      </c>
      <c r="F66" s="668" t="e">
        <f>IF(D26&lt;&gt;"Potential exposure",F21,F18)*i_AbsorpProduct2/1000</f>
        <v>#N/A</v>
      </c>
      <c r="G66" s="256" t="e">
        <f t="shared" si="3"/>
        <v>#N/A</v>
      </c>
      <c r="H66" s="668" t="e">
        <f>IF(D26&lt;&gt;"Potential exposure",H21,H18)*i_AbsorpProduct3/1000</f>
        <v>#N/A</v>
      </c>
      <c r="I66" s="256" t="e">
        <f t="shared" si="4"/>
        <v>#N/A</v>
      </c>
      <c r="J66" s="668" t="e">
        <f>IF(D26&lt;&gt;"Potential exposure",J21,J18)*i_AbsorpProduct4/1000</f>
        <v>#N/A</v>
      </c>
      <c r="K66" s="256" t="e">
        <f t="shared" si="5"/>
        <v>#N/A</v>
      </c>
      <c r="L66" s="368"/>
      <c r="M66" s="368"/>
      <c r="P66" s="368"/>
      <c r="S66" s="362"/>
    </row>
    <row r="67" spans="2:19">
      <c r="B67" s="831" t="s">
        <v>104</v>
      </c>
      <c r="C67" s="832"/>
      <c r="D67" s="668" t="e">
        <f>IF(OR($D27&lt;&gt;"None",$E27&lt;&gt;"None"),D22*i_AbsorpProduct1,D19*i_AbsorpProduct1)/1000</f>
        <v>#N/A</v>
      </c>
      <c r="E67" s="256" t="e">
        <f t="shared" si="2"/>
        <v>#N/A</v>
      </c>
      <c r="F67" s="668" t="e">
        <f>IF(OR($D27&lt;&gt;"None",$E27&lt;&gt;"None"),F22*i_AbsorpProduct2,F19*i_AbsorpProduct2)/1000</f>
        <v>#N/A</v>
      </c>
      <c r="G67" s="256" t="e">
        <f t="shared" si="3"/>
        <v>#N/A</v>
      </c>
      <c r="H67" s="668" t="e">
        <f>IF(OR($D27&lt;&gt;"None",$E27&lt;&gt;"None"),H22*i_AbsorpProduct3,H19*i_AbsorpProduct3)/1000</f>
        <v>#N/A</v>
      </c>
      <c r="I67" s="256" t="e">
        <f t="shared" si="4"/>
        <v>#N/A</v>
      </c>
      <c r="J67" s="668" t="e">
        <f>IF(OR($D27&lt;&gt;"None",$E27&lt;&gt;"None"),J22*i_AbsorpProduct4,J19*i_AbsorpProduct4)/1000</f>
        <v>#N/A</v>
      </c>
      <c r="K67" s="256" t="e">
        <f t="shared" si="5"/>
        <v>#N/A</v>
      </c>
      <c r="L67" s="368"/>
      <c r="M67" s="368"/>
      <c r="P67" s="368"/>
      <c r="S67" s="362"/>
    </row>
    <row r="68" spans="2:19" ht="15" customHeight="1">
      <c r="B68" s="831" t="s">
        <v>109</v>
      </c>
      <c r="C68" s="832"/>
      <c r="D68" s="668" t="e">
        <f>D23*i_AbsorpInhalation1*$M27/1000</f>
        <v>#N/A</v>
      </c>
      <c r="E68" s="256" t="e">
        <f t="shared" si="2"/>
        <v>#N/A</v>
      </c>
      <c r="F68" s="668" t="e">
        <f>F23*i_AbsorpInhalation2*$M27/1000</f>
        <v>#N/A</v>
      </c>
      <c r="G68" s="256" t="e">
        <f t="shared" si="3"/>
        <v>#N/A</v>
      </c>
      <c r="H68" s="668" t="e">
        <f>H23*i_AbsorpInhalation3*$M27/1000</f>
        <v>#N/A</v>
      </c>
      <c r="I68" s="256" t="e">
        <f t="shared" si="4"/>
        <v>#N/A</v>
      </c>
      <c r="J68" s="668" t="e">
        <f>J23*i_AbsorpInhalation4*$M27/1000</f>
        <v>#N/A</v>
      </c>
      <c r="K68" s="256" t="e">
        <f t="shared" si="5"/>
        <v>#N/A</v>
      </c>
      <c r="L68" s="368"/>
      <c r="M68" s="368"/>
      <c r="P68" s="368"/>
      <c r="S68" s="362"/>
    </row>
    <row r="69" spans="2:19" ht="15" customHeight="1">
      <c r="B69" s="833" t="s">
        <v>449</v>
      </c>
      <c r="C69" s="834"/>
      <c r="D69" s="668" t="e">
        <f>SUM(D65:D68)</f>
        <v>#N/A</v>
      </c>
      <c r="E69" s="256" t="e">
        <f t="shared" si="2"/>
        <v>#N/A</v>
      </c>
      <c r="F69" s="668" t="e">
        <f>SUM(F65:F68)</f>
        <v>#N/A</v>
      </c>
      <c r="G69" s="256" t="e">
        <f t="shared" si="3"/>
        <v>#N/A</v>
      </c>
      <c r="H69" s="668" t="e">
        <f>SUM(H65:H68)</f>
        <v>#N/A</v>
      </c>
      <c r="I69" s="256" t="e">
        <f t="shared" si="4"/>
        <v>#N/A</v>
      </c>
      <c r="J69" s="668" t="e">
        <f>SUM(J65:J68)</f>
        <v>#N/A</v>
      </c>
      <c r="K69" s="256" t="e">
        <f t="shared" si="5"/>
        <v>#N/A</v>
      </c>
      <c r="L69" s="368"/>
      <c r="M69" s="368"/>
      <c r="P69" s="368"/>
      <c r="S69" s="362"/>
    </row>
    <row r="70" spans="2:19" ht="15.75" thickBot="1">
      <c r="B70" s="831" t="s">
        <v>432</v>
      </c>
      <c r="C70" s="832"/>
      <c r="D70" s="672" t="e">
        <f>D69*$L28</f>
        <v>#N/A</v>
      </c>
      <c r="E70" s="298" t="e">
        <f t="shared" si="2"/>
        <v>#N/A</v>
      </c>
      <c r="F70" s="672" t="e">
        <f>F69*$L28</f>
        <v>#N/A</v>
      </c>
      <c r="G70" s="298" t="e">
        <f t="shared" si="3"/>
        <v>#N/A</v>
      </c>
      <c r="H70" s="672" t="e">
        <f>H69*$L28</f>
        <v>#N/A</v>
      </c>
      <c r="I70" s="298" t="e">
        <f t="shared" si="4"/>
        <v>#N/A</v>
      </c>
      <c r="J70" s="672" t="e">
        <f>J69*$L28</f>
        <v>#N/A</v>
      </c>
      <c r="K70" s="298" t="e">
        <f t="shared" si="5"/>
        <v>#N/A</v>
      </c>
      <c r="L70" s="368"/>
      <c r="M70" s="368"/>
      <c r="P70" s="368"/>
      <c r="S70" s="362"/>
    </row>
    <row r="71" spans="2:19" ht="15.75" thickBot="1">
      <c r="B71" s="54"/>
      <c r="C71" s="55"/>
      <c r="D71" s="55"/>
      <c r="E71" s="56"/>
      <c r="F71" s="56"/>
      <c r="G71" s="56"/>
      <c r="H71" s="56"/>
      <c r="I71" s="57"/>
      <c r="L71" s="362"/>
      <c r="S71" s="362"/>
    </row>
    <row r="72" spans="2:19" ht="18.75">
      <c r="B72" s="841" t="s">
        <v>451</v>
      </c>
      <c r="C72" s="841"/>
      <c r="D72" s="837">
        <f>i_SubstName1</f>
        <v>0</v>
      </c>
      <c r="E72" s="838"/>
      <c r="F72" s="837">
        <f>i_SubstName2</f>
        <v>0</v>
      </c>
      <c r="G72" s="838"/>
      <c r="H72" s="837">
        <f>i_SubstName3</f>
        <v>0</v>
      </c>
      <c r="I72" s="838"/>
      <c r="J72" s="837">
        <f>i_SubstName4</f>
        <v>0</v>
      </c>
      <c r="K72" s="838"/>
      <c r="L72" s="362"/>
      <c r="S72" s="362"/>
    </row>
    <row r="73" spans="2:19" ht="30">
      <c r="B73" s="839"/>
      <c r="C73" s="840"/>
      <c r="D73" s="656" t="s">
        <v>447</v>
      </c>
      <c r="E73" s="653" t="s">
        <v>448</v>
      </c>
      <c r="F73" s="656" t="s">
        <v>447</v>
      </c>
      <c r="G73" s="653" t="s">
        <v>448</v>
      </c>
      <c r="H73" s="386" t="s">
        <v>447</v>
      </c>
      <c r="I73" s="387" t="s">
        <v>448</v>
      </c>
      <c r="J73" s="388" t="s">
        <v>447</v>
      </c>
      <c r="K73" s="387" t="s">
        <v>448</v>
      </c>
      <c r="L73" s="362"/>
      <c r="S73" s="362"/>
    </row>
    <row r="74" spans="2:19" ht="15" customHeight="1">
      <c r="B74" s="835" t="s">
        <v>437</v>
      </c>
      <c r="C74" s="836"/>
      <c r="D74" s="661"/>
      <c r="E74" s="653"/>
      <c r="F74" s="661"/>
      <c r="G74" s="653"/>
      <c r="H74" s="46"/>
      <c r="I74" s="154"/>
      <c r="J74" s="47"/>
      <c r="K74" s="154"/>
      <c r="L74" s="362"/>
      <c r="S74" s="362"/>
    </row>
    <row r="75" spans="2:19" ht="15" customHeight="1">
      <c r="B75" s="831" t="s">
        <v>418</v>
      </c>
      <c r="C75" s="832"/>
      <c r="D75" s="665" t="e">
        <f>D32*i_AbsorpInuse1/1000</f>
        <v>#N/A</v>
      </c>
      <c r="E75" s="256" t="e">
        <f>D75/d_BwAdult</f>
        <v>#N/A</v>
      </c>
      <c r="F75" s="665" t="e">
        <f>F32*i_AbsorpInuse2/1000</f>
        <v>#N/A</v>
      </c>
      <c r="G75" s="256" t="e">
        <f>F75/d_BwAdult</f>
        <v>#N/A</v>
      </c>
      <c r="H75" s="665" t="e">
        <f>H32*i_AbsorpInuse3/1000</f>
        <v>#N/A</v>
      </c>
      <c r="I75" s="256" t="e">
        <f>H75/d_BwAdult</f>
        <v>#N/A</v>
      </c>
      <c r="J75" s="665" t="e">
        <f>J32*i_AbsorpInuse4/1000</f>
        <v>#N/A</v>
      </c>
      <c r="K75" s="256" t="e">
        <f>J75/d_BwAdult</f>
        <v>#N/A</v>
      </c>
      <c r="L75" s="368"/>
      <c r="M75" s="368"/>
      <c r="P75" s="368"/>
      <c r="S75" s="362"/>
    </row>
    <row r="76" spans="2:19">
      <c r="B76" s="831" t="s">
        <v>420</v>
      </c>
      <c r="C76" s="832"/>
      <c r="D76" s="665" t="e">
        <f>D33*i_AbsorpInuse1/1000</f>
        <v>#N/A</v>
      </c>
      <c r="E76" s="256" t="e">
        <f>D76/d_BwAdult</f>
        <v>#N/A</v>
      </c>
      <c r="F76" s="665" t="e">
        <f>F33*i_AbsorpInuse2/1000</f>
        <v>#N/A</v>
      </c>
      <c r="G76" s="256" t="e">
        <f>F76/d_BwAdult</f>
        <v>#N/A</v>
      </c>
      <c r="H76" s="665" t="e">
        <f>H33*i_AbsorpInuse3/1000</f>
        <v>#N/A</v>
      </c>
      <c r="I76" s="256" t="e">
        <f>H76/d_BwAdult</f>
        <v>#N/A</v>
      </c>
      <c r="J76" s="665" t="e">
        <f>J33*i_AbsorpInuse4/1000</f>
        <v>#N/A</v>
      </c>
      <c r="K76" s="256" t="e">
        <f>J76/d_BwAdult</f>
        <v>#N/A</v>
      </c>
      <c r="L76" s="368"/>
      <c r="M76" s="368"/>
      <c r="P76" s="368"/>
      <c r="S76" s="362"/>
    </row>
    <row r="77" spans="2:19">
      <c r="B77" s="831" t="s">
        <v>104</v>
      </c>
      <c r="C77" s="832"/>
      <c r="D77" s="665" t="e">
        <f>D34*i_AbsorpInuse1/1000</f>
        <v>#N/A</v>
      </c>
      <c r="E77" s="256" t="e">
        <f>D77/d_BwAdult</f>
        <v>#N/A</v>
      </c>
      <c r="F77" s="665" t="e">
        <f>F34*i_AbsorpInuse2/1000</f>
        <v>#N/A</v>
      </c>
      <c r="G77" s="256" t="e">
        <f>F77/d_BwAdult</f>
        <v>#N/A</v>
      </c>
      <c r="H77" s="665" t="e">
        <f>H34*i_AbsorpInuse3/1000</f>
        <v>#N/A</v>
      </c>
      <c r="I77" s="256" t="e">
        <f>H77/d_BwAdult</f>
        <v>#N/A</v>
      </c>
      <c r="J77" s="665" t="e">
        <f>J34*i_AbsorpInuse4/1000</f>
        <v>#N/A</v>
      </c>
      <c r="K77" s="256" t="e">
        <f>J77/d_BwAdult</f>
        <v>#N/A</v>
      </c>
      <c r="L77" s="368"/>
      <c r="M77" s="368"/>
      <c r="P77" s="368"/>
      <c r="S77" s="362"/>
    </row>
    <row r="78" spans="2:19" ht="15" customHeight="1">
      <c r="B78" s="831" t="s">
        <v>109</v>
      </c>
      <c r="C78" s="832"/>
      <c r="D78" s="665" t="e">
        <f>D37*i_AbsorpInhalation1/1000</f>
        <v>#N/A</v>
      </c>
      <c r="E78" s="256" t="e">
        <f>D78/d_BwAdult</f>
        <v>#N/A</v>
      </c>
      <c r="F78" s="665" t="e">
        <f>F37*i_AbsorpInhalation2/1000</f>
        <v>#N/A</v>
      </c>
      <c r="G78" s="256" t="e">
        <f>F78/d_BwAdult</f>
        <v>#N/A</v>
      </c>
      <c r="H78" s="665" t="e">
        <f>H37*i_AbsorpInhalation3/1000</f>
        <v>#N/A</v>
      </c>
      <c r="I78" s="256" t="e">
        <f>H78/d_BwAdult</f>
        <v>#N/A</v>
      </c>
      <c r="J78" s="665" t="e">
        <f>J37*i_AbsorpInhalation4/1000</f>
        <v>#N/A</v>
      </c>
      <c r="K78" s="256" t="e">
        <f>J78/d_BwAdult</f>
        <v>#N/A</v>
      </c>
      <c r="L78" s="368"/>
      <c r="M78" s="368"/>
      <c r="P78" s="368"/>
      <c r="S78" s="362"/>
    </row>
    <row r="79" spans="2:19" ht="15" customHeight="1">
      <c r="B79" s="833" t="s">
        <v>449</v>
      </c>
      <c r="C79" s="834"/>
      <c r="D79" s="665" t="e">
        <f>D75+D76+D77+D78</f>
        <v>#N/A</v>
      </c>
      <c r="E79" s="256" t="e">
        <f>D79/d_BwAdult</f>
        <v>#N/A</v>
      </c>
      <c r="F79" s="665" t="e">
        <f>F75+F76+F77+F78</f>
        <v>#N/A</v>
      </c>
      <c r="G79" s="256" t="e">
        <f>F79/d_BwAdult</f>
        <v>#N/A</v>
      </c>
      <c r="H79" s="665" t="e">
        <f>H75+H76+H77+H78</f>
        <v>#N/A</v>
      </c>
      <c r="I79" s="256" t="e">
        <f>H79/d_BwAdult</f>
        <v>#N/A</v>
      </c>
      <c r="J79" s="665" t="e">
        <f>J75+J76+J77+J78</f>
        <v>#N/A</v>
      </c>
      <c r="K79" s="256" t="e">
        <f>J79/d_BwAdult</f>
        <v>#N/A</v>
      </c>
      <c r="L79" s="368"/>
      <c r="M79" s="368"/>
      <c r="P79" s="368"/>
      <c r="S79" s="362"/>
    </row>
    <row r="80" spans="2:19">
      <c r="B80" s="835" t="s">
        <v>450</v>
      </c>
      <c r="C80" s="836"/>
      <c r="D80" s="312"/>
      <c r="E80" s="311"/>
      <c r="F80" s="312"/>
      <c r="G80" s="311"/>
      <c r="H80" s="312"/>
      <c r="I80" s="311"/>
      <c r="J80" s="312"/>
      <c r="K80" s="311"/>
      <c r="L80" s="368"/>
      <c r="M80" s="368"/>
      <c r="P80" s="368"/>
      <c r="S80" s="362"/>
    </row>
    <row r="81" spans="2:19">
      <c r="B81" s="831" t="s">
        <v>418</v>
      </c>
      <c r="C81" s="832"/>
      <c r="D81" s="665" t="e">
        <f>IF(D39="Yes", D35,D32)*i_AbsorpInuse1/1000</f>
        <v>#N/A</v>
      </c>
      <c r="E81" s="256" t="e">
        <f>D81/d_BwAdult</f>
        <v>#N/A</v>
      </c>
      <c r="F81" s="665" t="e">
        <f>IF(D39="Yes", F35,F32)*i_AbsorpInuse2/1000</f>
        <v>#N/A</v>
      </c>
      <c r="G81" s="256" t="e">
        <f>F81/d_BwAdult</f>
        <v>#N/A</v>
      </c>
      <c r="H81" s="665" t="e">
        <f>IF(D39="Yes", H35,H32)*i_AbsorpInuse3/1000</f>
        <v>#N/A</v>
      </c>
      <c r="I81" s="256" t="e">
        <f>H81/d_BwAdult</f>
        <v>#N/A</v>
      </c>
      <c r="J81" s="665" t="e">
        <f>IF(D39="Yes", J35,J32)*i_AbsorpInuse4/1000</f>
        <v>#N/A</v>
      </c>
      <c r="K81" s="256" t="e">
        <f>J81/d_BwAdult</f>
        <v>#N/A</v>
      </c>
      <c r="L81" s="368"/>
      <c r="M81" s="368"/>
      <c r="P81" s="368"/>
      <c r="S81" s="362"/>
    </row>
    <row r="82" spans="2:19">
      <c r="B82" s="831" t="s">
        <v>420</v>
      </c>
      <c r="C82" s="832"/>
      <c r="D82" s="665" t="e">
        <f>IF(D40&lt;&gt;"Potential exposure",D36,D33)*i_AbsorpInuse1/1000</f>
        <v>#N/A</v>
      </c>
      <c r="E82" s="256" t="e">
        <f>D82/d_BwAdult</f>
        <v>#N/A</v>
      </c>
      <c r="F82" s="665" t="e">
        <f>IF(D40&lt;&gt;"Potential exposure",F36,F33)*i_AbsorpInuse2/1000</f>
        <v>#N/A</v>
      </c>
      <c r="G82" s="256" t="e">
        <f>F82/d_BwAdult</f>
        <v>#N/A</v>
      </c>
      <c r="H82" s="665" t="e">
        <f>IF(D40&lt;&gt;"Potential exposure",H36,H33)*i_AbsorpInuse3/1000</f>
        <v>#N/A</v>
      </c>
      <c r="I82" s="256" t="e">
        <f>H82/d_BwAdult</f>
        <v>#N/A</v>
      </c>
      <c r="J82" s="665" t="e">
        <f>IF(D40&lt;&gt;"Potential exposure",J36,J33)*i_AbsorpInuse4/1000</f>
        <v>#N/A</v>
      </c>
      <c r="K82" s="256" t="e">
        <f>J82/d_BwAdult</f>
        <v>#N/A</v>
      </c>
      <c r="L82" s="368"/>
      <c r="M82" s="368"/>
      <c r="P82" s="368"/>
      <c r="S82" s="362"/>
    </row>
    <row r="83" spans="2:19" ht="15" customHeight="1">
      <c r="B83" s="831" t="s">
        <v>104</v>
      </c>
      <c r="C83" s="832"/>
      <c r="D83" s="665" t="e">
        <f>D34*i_AbsorpInuse1*$L41/1000</f>
        <v>#N/A</v>
      </c>
      <c r="E83" s="256" t="e">
        <f>D83/d_BwAdult</f>
        <v>#N/A</v>
      </c>
      <c r="F83" s="665" t="e">
        <f>F34*i_AbsorpInuse2*L41/1000</f>
        <v>#N/A</v>
      </c>
      <c r="G83" s="256" t="e">
        <f>F83/d_BwAdult</f>
        <v>#N/A</v>
      </c>
      <c r="H83" s="665" t="e">
        <f>H34*i_AbsorpInuse3*L41/1000</f>
        <v>#N/A</v>
      </c>
      <c r="I83" s="256" t="e">
        <f>H83/d_BwAdult</f>
        <v>#N/A</v>
      </c>
      <c r="J83" s="665" t="e">
        <f>J34*i_AbsorpInuse4*L41/1000</f>
        <v>#N/A</v>
      </c>
      <c r="K83" s="256" t="e">
        <f>J83/d_BwAdult</f>
        <v>#N/A</v>
      </c>
      <c r="L83" s="368"/>
      <c r="M83" s="368"/>
      <c r="P83" s="368"/>
      <c r="S83" s="362"/>
    </row>
    <row r="84" spans="2:19" ht="15" customHeight="1">
      <c r="B84" s="831" t="s">
        <v>109</v>
      </c>
      <c r="C84" s="832"/>
      <c r="D84" s="665" t="e">
        <f>D37*i_AbsorpInhalation1*$M41/1000</f>
        <v>#N/A</v>
      </c>
      <c r="E84" s="256" t="e">
        <f>D84/d_BwAdult</f>
        <v>#N/A</v>
      </c>
      <c r="F84" s="665" t="e">
        <f>F37*i_AbsorpInhalation2*$M41/1000</f>
        <v>#N/A</v>
      </c>
      <c r="G84" s="256" t="e">
        <f>F84/d_BwAdult</f>
        <v>#N/A</v>
      </c>
      <c r="H84" s="665" t="e">
        <f>H37*i_AbsorpInhalation3*$M41/1000</f>
        <v>#N/A</v>
      </c>
      <c r="I84" s="256" t="e">
        <f>H84/d_BwAdult</f>
        <v>#N/A</v>
      </c>
      <c r="J84" s="665" t="e">
        <f>J37*i_AbsorpInhalation4*$M41/1000</f>
        <v>#N/A</v>
      </c>
      <c r="K84" s="256" t="e">
        <f>J84/d_BwAdult</f>
        <v>#N/A</v>
      </c>
      <c r="L84" s="368"/>
      <c r="M84" s="368"/>
      <c r="P84" s="368"/>
      <c r="S84" s="362"/>
    </row>
    <row r="85" spans="2:19" ht="15.75" thickBot="1">
      <c r="B85" s="833" t="s">
        <v>449</v>
      </c>
      <c r="C85" s="834"/>
      <c r="D85" s="285" t="e">
        <f>SUM(D81:D84)</f>
        <v>#N/A</v>
      </c>
      <c r="E85" s="298" t="e">
        <f>D85/d_BwAdult</f>
        <v>#N/A</v>
      </c>
      <c r="F85" s="285" t="e">
        <f>SUM(F81:F84)</f>
        <v>#N/A</v>
      </c>
      <c r="G85" s="298" t="e">
        <f>F85/d_BwAdult</f>
        <v>#N/A</v>
      </c>
      <c r="H85" s="285" t="e">
        <f>SUM(H81:H84)</f>
        <v>#N/A</v>
      </c>
      <c r="I85" s="298" t="e">
        <f>H85/d_BwAdult</f>
        <v>#N/A</v>
      </c>
      <c r="J85" s="285" t="e">
        <f>SUM(J81:J84)</f>
        <v>#N/A</v>
      </c>
      <c r="K85" s="298" t="e">
        <f>J85/d_BwAdult</f>
        <v>#N/A</v>
      </c>
      <c r="L85" s="368"/>
      <c r="M85" s="368"/>
      <c r="P85" s="368"/>
      <c r="S85" s="362"/>
    </row>
    <row r="86" spans="2:19" s="43" customFormat="1">
      <c r="B86"/>
      <c r="C86"/>
      <c r="D86" s="644"/>
      <c r="E86" s="644"/>
      <c r="F86" s="644"/>
      <c r="G86" s="644"/>
      <c r="H86" s="644"/>
      <c r="L86" s="368"/>
      <c r="M86" s="368"/>
      <c r="N86" s="369"/>
      <c r="O86" s="369"/>
      <c r="P86" s="368"/>
      <c r="Q86" s="369"/>
      <c r="R86" s="369"/>
    </row>
    <row r="87" spans="2:19" s="43" customFormat="1" ht="15.75" thickBot="1">
      <c r="B87" s="51" t="s">
        <v>452</v>
      </c>
      <c r="C87"/>
      <c r="D87" s="644"/>
      <c r="E87" s="644"/>
      <c r="F87" s="644"/>
      <c r="G87" s="644"/>
      <c r="H87" s="644"/>
      <c r="L87" s="369"/>
      <c r="M87" s="369"/>
      <c r="N87" s="369"/>
      <c r="O87" s="369"/>
      <c r="P87" s="369"/>
      <c r="Q87" s="369"/>
      <c r="R87" s="369"/>
    </row>
    <row r="88" spans="2:19" ht="18.75">
      <c r="B88" s="51" t="s">
        <v>453</v>
      </c>
      <c r="D88" s="837">
        <f>i_SubstName1</f>
        <v>0</v>
      </c>
      <c r="E88" s="838"/>
      <c r="F88" s="837">
        <f>i_SubstName2</f>
        <v>0</v>
      </c>
      <c r="G88" s="838"/>
      <c r="H88" s="837">
        <f>i_SubstName3</f>
        <v>0</v>
      </c>
      <c r="I88" s="838"/>
      <c r="J88" s="837">
        <f>i_SubstName4</f>
        <v>0</v>
      </c>
      <c r="K88" s="838"/>
      <c r="L88" s="362"/>
    </row>
    <row r="89" spans="2:19" ht="30">
      <c r="B89" s="839"/>
      <c r="C89" s="840"/>
      <c r="D89" s="656" t="s">
        <v>447</v>
      </c>
      <c r="E89" s="653" t="s">
        <v>448</v>
      </c>
      <c r="F89" s="656" t="s">
        <v>447</v>
      </c>
      <c r="G89" s="653" t="s">
        <v>448</v>
      </c>
      <c r="H89" s="656" t="s">
        <v>447</v>
      </c>
      <c r="I89" s="653" t="s">
        <v>448</v>
      </c>
      <c r="J89" s="656" t="s">
        <v>447</v>
      </c>
      <c r="K89" s="653" t="s">
        <v>448</v>
      </c>
      <c r="L89" s="362"/>
    </row>
    <row r="90" spans="2:19" ht="15" customHeight="1">
      <c r="B90" s="835" t="s">
        <v>437</v>
      </c>
      <c r="C90" s="836"/>
      <c r="D90" s="661"/>
      <c r="E90" s="653"/>
      <c r="F90" s="661"/>
      <c r="G90" s="653"/>
      <c r="H90" s="661"/>
      <c r="I90" s="653"/>
      <c r="J90" s="661"/>
      <c r="K90" s="653"/>
      <c r="L90" s="362"/>
    </row>
    <row r="91" spans="2:19">
      <c r="B91" s="831" t="s">
        <v>418</v>
      </c>
      <c r="C91" s="832"/>
      <c r="D91" s="665" t="e">
        <f>E17*i_AbsorpProduct1/1000</f>
        <v>#N/A</v>
      </c>
      <c r="E91" s="256" t="e">
        <f>D91/d_BwAdult</f>
        <v>#N/A</v>
      </c>
      <c r="F91" s="665" t="e">
        <f>G17*i_AbsorpProduct2/1000</f>
        <v>#N/A</v>
      </c>
      <c r="G91" s="256" t="e">
        <f>F91/d_BwAdult</f>
        <v>#N/A</v>
      </c>
      <c r="H91" s="665" t="e">
        <f>I17*i_AbsorpProduct3/1000</f>
        <v>#N/A</v>
      </c>
      <c r="I91" s="256" t="e">
        <f>H91/d_BwAdult</f>
        <v>#N/A</v>
      </c>
      <c r="J91" s="665" t="e">
        <f>K17*i_AbsorpProduct4/1000</f>
        <v>#N/A</v>
      </c>
      <c r="K91" s="256" t="e">
        <f>J91/d_BwAdult</f>
        <v>#N/A</v>
      </c>
      <c r="L91" s="368"/>
      <c r="M91" s="368"/>
      <c r="P91" s="368"/>
    </row>
    <row r="92" spans="2:19">
      <c r="B92" s="831" t="s">
        <v>420</v>
      </c>
      <c r="C92" s="832"/>
      <c r="D92" s="665" t="e">
        <f>E18*i_AbsorpProduct1/1000</f>
        <v>#N/A</v>
      </c>
      <c r="E92" s="256" t="e">
        <f>D92/d_BwAdult</f>
        <v>#N/A</v>
      </c>
      <c r="F92" s="665" t="e">
        <f>G18*i_AbsorpProduct2/1000</f>
        <v>#N/A</v>
      </c>
      <c r="G92" s="256" t="e">
        <f>F92/d_BwAdult</f>
        <v>#N/A</v>
      </c>
      <c r="H92" s="665" t="e">
        <f>I18*i_AbsorpProduct3/1000</f>
        <v>#N/A</v>
      </c>
      <c r="I92" s="256" t="e">
        <f>H92/d_BwAdult</f>
        <v>#N/A</v>
      </c>
      <c r="J92" s="665" t="e">
        <f>K18*i_AbsorpProduct4/1000</f>
        <v>#N/A</v>
      </c>
      <c r="K92" s="256" t="e">
        <f>J92/d_BwAdult</f>
        <v>#N/A</v>
      </c>
      <c r="L92" s="368"/>
      <c r="M92" s="368"/>
      <c r="P92" s="368"/>
    </row>
    <row r="93" spans="2:19">
      <c r="B93" s="831" t="s">
        <v>104</v>
      </c>
      <c r="C93" s="832"/>
      <c r="D93" s="665" t="e">
        <f>E19*i_AbsorpProduct1/1000</f>
        <v>#N/A</v>
      </c>
      <c r="E93" s="256" t="e">
        <f>D93/d_BwAdult</f>
        <v>#N/A</v>
      </c>
      <c r="F93" s="665" t="e">
        <f>G19*i_AbsorpProduct2/1000</f>
        <v>#N/A</v>
      </c>
      <c r="G93" s="256" t="e">
        <f>F93/d_BwAdult</f>
        <v>#N/A</v>
      </c>
      <c r="H93" s="665" t="e">
        <f>I19*i_AbsorpProduct3/1000</f>
        <v>#N/A</v>
      </c>
      <c r="I93" s="256" t="e">
        <f>H93/d_BwAdult</f>
        <v>#N/A</v>
      </c>
      <c r="J93" s="665" t="e">
        <f>K19*i_AbsorpProduct4/1000</f>
        <v>#N/A</v>
      </c>
      <c r="K93" s="256" t="e">
        <f>J93/d_BwAdult</f>
        <v>#N/A</v>
      </c>
      <c r="L93" s="368"/>
      <c r="M93" s="368"/>
      <c r="P93" s="368"/>
    </row>
    <row r="94" spans="2:19" ht="15" customHeight="1">
      <c r="B94" s="831" t="s">
        <v>109</v>
      </c>
      <c r="C94" s="832"/>
      <c r="D94" s="665" t="e">
        <f>E23*i_AbsorpInhalation1/1000</f>
        <v>#N/A</v>
      </c>
      <c r="E94" s="256" t="e">
        <f>D94/d_BwAdult</f>
        <v>#N/A</v>
      </c>
      <c r="F94" s="665" t="e">
        <f>G23*i_AbsorpInhalation2/1000</f>
        <v>#N/A</v>
      </c>
      <c r="G94" s="256" t="e">
        <f>F94/d_BwAdult</f>
        <v>#N/A</v>
      </c>
      <c r="H94" s="665" t="e">
        <f>I23*i_AbsorpInhalation3/1000</f>
        <v>#N/A</v>
      </c>
      <c r="I94" s="256" t="e">
        <f>H94/d_BwAdult</f>
        <v>#N/A</v>
      </c>
      <c r="J94" s="665" t="e">
        <f>K23*i_AbsorpInhalation4/1000</f>
        <v>#N/A</v>
      </c>
      <c r="K94" s="256" t="e">
        <f>J94/d_BwAdult</f>
        <v>#N/A</v>
      </c>
      <c r="L94" s="368"/>
      <c r="M94" s="368"/>
      <c r="P94" s="368"/>
    </row>
    <row r="95" spans="2:19" ht="15" customHeight="1">
      <c r="B95" s="833" t="s">
        <v>449</v>
      </c>
      <c r="C95" s="834"/>
      <c r="D95" s="665" t="e">
        <f>D91+D92+D93+D94</f>
        <v>#N/A</v>
      </c>
      <c r="E95" s="256" t="e">
        <f>D95/d_BwAdult</f>
        <v>#N/A</v>
      </c>
      <c r="F95" s="665" t="e">
        <f>F91+F92+F93+F94</f>
        <v>#N/A</v>
      </c>
      <c r="G95" s="256" t="e">
        <f>F95/d_BwAdult</f>
        <v>#N/A</v>
      </c>
      <c r="H95" s="665" t="e">
        <f>H91+H92+H93+H94</f>
        <v>#N/A</v>
      </c>
      <c r="I95" s="256" t="e">
        <f>H95/d_BwAdult</f>
        <v>#N/A</v>
      </c>
      <c r="J95" s="665" t="e">
        <f>J91+J92+J93+J94</f>
        <v>#N/A</v>
      </c>
      <c r="K95" s="256" t="e">
        <f>J95/d_BwAdult</f>
        <v>#N/A</v>
      </c>
      <c r="L95" s="368"/>
      <c r="M95" s="368"/>
      <c r="P95" s="368"/>
    </row>
    <row r="96" spans="2:19" ht="15" customHeight="1">
      <c r="B96" s="835" t="s">
        <v>450</v>
      </c>
      <c r="C96" s="836"/>
      <c r="D96" s="312"/>
      <c r="E96" s="311"/>
      <c r="F96" s="312"/>
      <c r="G96" s="311"/>
      <c r="H96" s="312"/>
      <c r="I96" s="311"/>
      <c r="J96" s="312"/>
      <c r="K96" s="311"/>
      <c r="L96" s="368"/>
      <c r="M96" s="368"/>
      <c r="P96" s="368"/>
    </row>
    <row r="97" spans="2:16" ht="15" customHeight="1">
      <c r="B97" s="831" t="s">
        <v>418</v>
      </c>
      <c r="C97" s="832"/>
      <c r="D97" s="665" t="e">
        <f>IF(D25="Yes", E20,E17)*i_AbsorpProduct1/1000</f>
        <v>#N/A</v>
      </c>
      <c r="E97" s="256" t="e">
        <f t="shared" ref="E97:E102" si="6">D97/d_BwAdult</f>
        <v>#N/A</v>
      </c>
      <c r="F97" s="665" t="e">
        <f>IF(D25="Yes", G20,G17)*i_AbsorpProduct2/1000</f>
        <v>#N/A</v>
      </c>
      <c r="G97" s="256" t="e">
        <f t="shared" ref="G97:G102" si="7">F97/d_BwAdult</f>
        <v>#N/A</v>
      </c>
      <c r="H97" s="665" t="e">
        <f>IF(D25="Yes", I20,I17)*i_AbsorpProduct3/1000</f>
        <v>#N/A</v>
      </c>
      <c r="I97" s="256" t="e">
        <f t="shared" ref="I97:I102" si="8">H97/d_BwAdult</f>
        <v>#N/A</v>
      </c>
      <c r="J97" s="665" t="e">
        <f>IF(D25="Yes", K20,K17)*i_AbsorpProduct4/1000</f>
        <v>#N/A</v>
      </c>
      <c r="K97" s="256" t="e">
        <f t="shared" ref="K97:K102" si="9">J97/d_BwAdult</f>
        <v>#N/A</v>
      </c>
      <c r="L97" s="368"/>
      <c r="M97" s="368"/>
      <c r="P97" s="368"/>
    </row>
    <row r="98" spans="2:16">
      <c r="B98" s="831" t="s">
        <v>420</v>
      </c>
      <c r="C98" s="832"/>
      <c r="D98" s="665" t="e">
        <f>IF($D$26&lt;&gt;"Potential exposure",E21,E18)*i_AbsorpProduct1/1000</f>
        <v>#N/A</v>
      </c>
      <c r="E98" s="256" t="e">
        <f t="shared" si="6"/>
        <v>#N/A</v>
      </c>
      <c r="F98" s="665" t="e">
        <f>IF($D$26&lt;&gt;"Potential exposure",G21,G18)*i_AbsorpProduct2/1000</f>
        <v>#N/A</v>
      </c>
      <c r="G98" s="256" t="e">
        <f t="shared" si="7"/>
        <v>#N/A</v>
      </c>
      <c r="H98" s="665" t="e">
        <f>IF($D$26&lt;&gt;"Potential exposure",I21,I18)*i_AbsorpProduct3/1000</f>
        <v>#N/A</v>
      </c>
      <c r="I98" s="256" t="e">
        <f t="shared" si="8"/>
        <v>#N/A</v>
      </c>
      <c r="J98" s="665" t="e">
        <f>IF($D$26&lt;&gt;"Potential exposure",K21,K18)*i_AbsorpProduct4/1000</f>
        <v>#N/A</v>
      </c>
      <c r="K98" s="256" t="e">
        <f t="shared" si="9"/>
        <v>#N/A</v>
      </c>
      <c r="L98" s="368"/>
      <c r="M98" s="368"/>
      <c r="P98" s="368"/>
    </row>
    <row r="99" spans="2:16">
      <c r="B99" s="831" t="s">
        <v>104</v>
      </c>
      <c r="C99" s="832"/>
      <c r="D99" s="665" t="e">
        <f>IF(OR($D27&lt;&gt;"None",$E27&lt;&gt;"None"),E22*i_AbsorpProduct1,E19*i_AbsorpProduct1)/1000</f>
        <v>#N/A</v>
      </c>
      <c r="E99" s="256" t="e">
        <f t="shared" si="6"/>
        <v>#N/A</v>
      </c>
      <c r="F99" s="665" t="e">
        <f>IF(OR($D27&lt;&gt;"None",$E27&lt;&gt;"None"),G22*i_AbsorpProduct2,G19*i_AbsorpProduct2)/1000</f>
        <v>#N/A</v>
      </c>
      <c r="G99" s="256" t="e">
        <f t="shared" si="7"/>
        <v>#N/A</v>
      </c>
      <c r="H99" s="665" t="e">
        <f>IF(OR($D27&lt;&gt;"None",$E27&lt;&gt;"None"),I22*i_AbsorpProduct3,I19*i_AbsorpProduct3)/1000</f>
        <v>#N/A</v>
      </c>
      <c r="I99" s="256" t="e">
        <f t="shared" si="8"/>
        <v>#N/A</v>
      </c>
      <c r="J99" s="665" t="e">
        <f>IF(OR($D27&lt;&gt;"None",$E27&lt;&gt;"None"),K22*i_AbsorpProduct4,K19*i_AbsorpProduct4)/1000</f>
        <v>#N/A</v>
      </c>
      <c r="K99" s="256" t="e">
        <f t="shared" si="9"/>
        <v>#N/A</v>
      </c>
      <c r="L99" s="368"/>
      <c r="M99" s="368"/>
      <c r="P99" s="368"/>
    </row>
    <row r="100" spans="2:16" ht="15" customHeight="1">
      <c r="B100" s="831" t="s">
        <v>109</v>
      </c>
      <c r="C100" s="832"/>
      <c r="D100" s="665" t="e">
        <f>E23*i_AbsorpInhalation1*$M27/1000</f>
        <v>#N/A</v>
      </c>
      <c r="E100" s="256" t="e">
        <f t="shared" si="6"/>
        <v>#N/A</v>
      </c>
      <c r="F100" s="665" t="e">
        <f>G23*i_AbsorpInhalation2*$M27/1000</f>
        <v>#N/A</v>
      </c>
      <c r="G100" s="256" t="e">
        <f t="shared" si="7"/>
        <v>#N/A</v>
      </c>
      <c r="H100" s="665" t="e">
        <f>I23*i_AbsorpInhalation3*$M27/1000</f>
        <v>#N/A</v>
      </c>
      <c r="I100" s="256" t="e">
        <f t="shared" si="8"/>
        <v>#N/A</v>
      </c>
      <c r="J100" s="665" t="e">
        <f>K23*i_AbsorpInhalation4*$M27/1000</f>
        <v>#N/A</v>
      </c>
      <c r="K100" s="256" t="e">
        <f t="shared" si="9"/>
        <v>#N/A</v>
      </c>
      <c r="L100" s="368"/>
      <c r="M100" s="368"/>
      <c r="P100" s="368"/>
    </row>
    <row r="101" spans="2:16" ht="15" customHeight="1">
      <c r="B101" s="833" t="s">
        <v>449</v>
      </c>
      <c r="C101" s="834"/>
      <c r="D101" s="665" t="e">
        <f>SUM(D97:D100)</f>
        <v>#N/A</v>
      </c>
      <c r="E101" s="256" t="e">
        <f t="shared" si="6"/>
        <v>#N/A</v>
      </c>
      <c r="F101" s="665" t="e">
        <f>SUM(F97:F100)</f>
        <v>#N/A</v>
      </c>
      <c r="G101" s="256" t="e">
        <f t="shared" si="7"/>
        <v>#N/A</v>
      </c>
      <c r="H101" s="665" t="e">
        <f>SUM(H97:H100)</f>
        <v>#N/A</v>
      </c>
      <c r="I101" s="256" t="e">
        <f t="shared" si="8"/>
        <v>#N/A</v>
      </c>
      <c r="J101" s="665" t="e">
        <f>SUM(J97:J100)</f>
        <v>#N/A</v>
      </c>
      <c r="K101" s="256" t="e">
        <f t="shared" si="9"/>
        <v>#N/A</v>
      </c>
      <c r="L101" s="368"/>
      <c r="M101" s="368"/>
      <c r="P101" s="368"/>
    </row>
    <row r="102" spans="2:16" ht="15" customHeight="1" thickBot="1">
      <c r="B102" s="831" t="s">
        <v>432</v>
      </c>
      <c r="C102" s="832"/>
      <c r="D102" s="672" t="e">
        <f>D101*$L28</f>
        <v>#N/A</v>
      </c>
      <c r="E102" s="298" t="e">
        <f t="shared" si="6"/>
        <v>#N/A</v>
      </c>
      <c r="F102" s="672" t="e">
        <f>F101*$L28</f>
        <v>#N/A</v>
      </c>
      <c r="G102" s="298" t="e">
        <f t="shared" si="7"/>
        <v>#N/A</v>
      </c>
      <c r="H102" s="672" t="e">
        <f>H101*$L28</f>
        <v>#N/A</v>
      </c>
      <c r="I102" s="298" t="e">
        <f t="shared" si="8"/>
        <v>#N/A</v>
      </c>
      <c r="J102" s="672" t="e">
        <f>J101*$L28</f>
        <v>#N/A</v>
      </c>
      <c r="K102" s="298" t="e">
        <f t="shared" si="9"/>
        <v>#N/A</v>
      </c>
      <c r="L102" s="368"/>
      <c r="M102" s="368"/>
      <c r="P102" s="368"/>
    </row>
    <row r="103" spans="2:16" ht="15.75" thickBot="1">
      <c r="B103" s="54"/>
      <c r="C103" s="55"/>
      <c r="D103" s="55"/>
      <c r="E103" s="56"/>
      <c r="F103" s="56"/>
      <c r="G103" s="56"/>
      <c r="H103" s="56"/>
      <c r="I103" s="57"/>
      <c r="L103" s="362"/>
    </row>
    <row r="104" spans="2:16" ht="18.75">
      <c r="B104" s="58" t="s">
        <v>451</v>
      </c>
      <c r="C104" s="58"/>
      <c r="D104" s="837">
        <f>i_SubstName1</f>
        <v>0</v>
      </c>
      <c r="E104" s="838"/>
      <c r="F104" s="837">
        <f>i_SubstName2</f>
        <v>0</v>
      </c>
      <c r="G104" s="838"/>
      <c r="H104" s="837">
        <f>i_SubstName3</f>
        <v>0</v>
      </c>
      <c r="I104" s="838"/>
      <c r="J104" s="837">
        <f>i_SubstName4</f>
        <v>0</v>
      </c>
      <c r="K104" s="838"/>
      <c r="L104" s="362"/>
    </row>
    <row r="105" spans="2:16" ht="30">
      <c r="B105" s="839"/>
      <c r="C105" s="840"/>
      <c r="D105" s="656" t="s">
        <v>447</v>
      </c>
      <c r="E105" s="653" t="s">
        <v>448</v>
      </c>
      <c r="F105" s="656" t="s">
        <v>447</v>
      </c>
      <c r="G105" s="653" t="s">
        <v>448</v>
      </c>
      <c r="H105" s="386" t="s">
        <v>447</v>
      </c>
      <c r="I105" s="387" t="s">
        <v>448</v>
      </c>
      <c r="J105" s="386" t="s">
        <v>447</v>
      </c>
      <c r="K105" s="387" t="s">
        <v>448</v>
      </c>
      <c r="L105" s="362"/>
    </row>
    <row r="106" spans="2:16" ht="15" customHeight="1">
      <c r="B106" s="835" t="s">
        <v>437</v>
      </c>
      <c r="C106" s="836"/>
      <c r="D106" s="661"/>
      <c r="E106" s="653"/>
      <c r="F106" s="661"/>
      <c r="G106" s="653"/>
      <c r="H106" s="150"/>
      <c r="I106" s="154"/>
      <c r="J106" s="150"/>
      <c r="K106" s="154"/>
      <c r="L106" s="362"/>
    </row>
    <row r="107" spans="2:16" ht="15" customHeight="1">
      <c r="B107" s="831" t="s">
        <v>418</v>
      </c>
      <c r="C107" s="832"/>
      <c r="D107" s="665" t="e">
        <f>E32*i_AbsorpInuse1/1000</f>
        <v>#N/A</v>
      </c>
      <c r="E107" s="256" t="e">
        <f>D107/d_BwAdult</f>
        <v>#N/A</v>
      </c>
      <c r="F107" s="665" t="e">
        <f>G32*i_AbsorpInuse2/1000</f>
        <v>#N/A</v>
      </c>
      <c r="G107" s="256" t="e">
        <f>F107/d_BwAdult</f>
        <v>#N/A</v>
      </c>
      <c r="H107" s="665" t="e">
        <f>I32*i_AbsorpInuse3/1000</f>
        <v>#N/A</v>
      </c>
      <c r="I107" s="256" t="e">
        <f>H107/d_BwAdult</f>
        <v>#N/A</v>
      </c>
      <c r="J107" s="665" t="e">
        <f>K32*i_AbsorpInuse4/1000</f>
        <v>#N/A</v>
      </c>
      <c r="K107" s="256" t="e">
        <f>J107/d_BwAdult</f>
        <v>#N/A</v>
      </c>
      <c r="L107" s="368"/>
      <c r="M107" s="368"/>
      <c r="P107" s="368"/>
    </row>
    <row r="108" spans="2:16">
      <c r="B108" s="831" t="s">
        <v>420</v>
      </c>
      <c r="C108" s="832"/>
      <c r="D108" s="665" t="e">
        <f>E33*i_AbsorpInuse1/1000</f>
        <v>#N/A</v>
      </c>
      <c r="E108" s="256" t="e">
        <f>D108/d_BwAdult</f>
        <v>#N/A</v>
      </c>
      <c r="F108" s="665" t="e">
        <f>G33*i_AbsorpInuse2/1000</f>
        <v>#N/A</v>
      </c>
      <c r="G108" s="256" t="e">
        <f>F108/d_BwAdult</f>
        <v>#N/A</v>
      </c>
      <c r="H108" s="665" t="e">
        <f>I33*i_AbsorpInuse3/1000</f>
        <v>#N/A</v>
      </c>
      <c r="I108" s="256" t="e">
        <f>H108/d_BwAdult</f>
        <v>#N/A</v>
      </c>
      <c r="J108" s="665" t="e">
        <f>K33*i_AbsorpInuse4/1000</f>
        <v>#N/A</v>
      </c>
      <c r="K108" s="256" t="e">
        <f>J108/d_BwAdult</f>
        <v>#N/A</v>
      </c>
      <c r="L108" s="368"/>
      <c r="M108" s="368"/>
      <c r="P108" s="368"/>
    </row>
    <row r="109" spans="2:16">
      <c r="B109" s="831" t="s">
        <v>104</v>
      </c>
      <c r="C109" s="832"/>
      <c r="D109" s="665" t="e">
        <f>E34*i_AbsorpInuse1/1000</f>
        <v>#N/A</v>
      </c>
      <c r="E109" s="256" t="e">
        <f>D109/d_BwAdult</f>
        <v>#N/A</v>
      </c>
      <c r="F109" s="665" t="e">
        <f>G34*i_AbsorpInuse2/1000</f>
        <v>#N/A</v>
      </c>
      <c r="G109" s="256" t="e">
        <f>F109/d_BwAdult</f>
        <v>#N/A</v>
      </c>
      <c r="H109" s="665" t="e">
        <f>I34*i_AbsorpInuse3/1000</f>
        <v>#N/A</v>
      </c>
      <c r="I109" s="256" t="e">
        <f>H109/d_BwAdult</f>
        <v>#N/A</v>
      </c>
      <c r="J109" s="665" t="e">
        <f>K34*i_AbsorpInuse4/1000</f>
        <v>#N/A</v>
      </c>
      <c r="K109" s="256" t="e">
        <f>J109/d_BwAdult</f>
        <v>#N/A</v>
      </c>
      <c r="L109" s="368"/>
      <c r="M109" s="368"/>
      <c r="P109" s="368"/>
    </row>
    <row r="110" spans="2:16">
      <c r="B110" s="831" t="s">
        <v>109</v>
      </c>
      <c r="C110" s="832"/>
      <c r="D110" s="665" t="e">
        <f>E37*i_AbsorpInhalation1/1000</f>
        <v>#N/A</v>
      </c>
      <c r="E110" s="256" t="e">
        <f>D110/d_BwAdult</f>
        <v>#N/A</v>
      </c>
      <c r="F110" s="665" t="e">
        <f>G37*i_AbsorpInhalation2/1000</f>
        <v>#N/A</v>
      </c>
      <c r="G110" s="256" t="e">
        <f>F110/d_BwAdult</f>
        <v>#N/A</v>
      </c>
      <c r="H110" s="665" t="e">
        <f>I37*i_AbsorpInhalation3/1000</f>
        <v>#N/A</v>
      </c>
      <c r="I110" s="256" t="e">
        <f>H110/d_BwAdult</f>
        <v>#N/A</v>
      </c>
      <c r="J110" s="665" t="e">
        <f>K37*i_AbsorpInhalation4/1000</f>
        <v>#N/A</v>
      </c>
      <c r="K110" s="256" t="e">
        <f>J110/d_BwAdult</f>
        <v>#N/A</v>
      </c>
      <c r="L110" s="368"/>
      <c r="M110" s="368"/>
      <c r="P110" s="368"/>
    </row>
    <row r="111" spans="2:16" ht="15" customHeight="1">
      <c r="B111" s="833" t="s">
        <v>449</v>
      </c>
      <c r="C111" s="834"/>
      <c r="D111" s="665" t="e">
        <f>D107+D108+D109+D110</f>
        <v>#N/A</v>
      </c>
      <c r="E111" s="256" t="e">
        <f>D111/d_BwAdult</f>
        <v>#N/A</v>
      </c>
      <c r="F111" s="665" t="e">
        <f>F107+F108+F109+F110</f>
        <v>#N/A</v>
      </c>
      <c r="G111" s="256" t="e">
        <f>F111/d_BwAdult</f>
        <v>#N/A</v>
      </c>
      <c r="H111" s="665" t="e">
        <f>H107+H108+H109+H110</f>
        <v>#N/A</v>
      </c>
      <c r="I111" s="256" t="e">
        <f>H111/d_BwAdult</f>
        <v>#N/A</v>
      </c>
      <c r="J111" s="665" t="e">
        <f>J107+J108+J109+J110</f>
        <v>#N/A</v>
      </c>
      <c r="K111" s="256" t="e">
        <f>J111/d_BwAdult</f>
        <v>#N/A</v>
      </c>
      <c r="L111" s="368"/>
      <c r="M111" s="368"/>
      <c r="P111" s="368"/>
    </row>
    <row r="112" spans="2:16">
      <c r="B112" s="835" t="s">
        <v>450</v>
      </c>
      <c r="C112" s="836"/>
      <c r="D112" s="312"/>
      <c r="E112" s="311"/>
      <c r="F112" s="312"/>
      <c r="G112" s="311"/>
      <c r="H112" s="312"/>
      <c r="I112" s="311"/>
      <c r="J112" s="312"/>
      <c r="K112" s="311"/>
      <c r="L112" s="368"/>
      <c r="M112" s="368"/>
      <c r="P112" s="368"/>
    </row>
    <row r="113" spans="2:16">
      <c r="B113" s="831" t="s">
        <v>418</v>
      </c>
      <c r="C113" s="832"/>
      <c r="D113" s="665" t="e">
        <f>IF(D39="Yes",E35,E32)*i_AbsorpInuse1/1000</f>
        <v>#N/A</v>
      </c>
      <c r="E113" s="256" t="e">
        <f>D113/d_BwAdult</f>
        <v>#N/A</v>
      </c>
      <c r="F113" s="665" t="e">
        <f>IF(D39="Yes",G35,G32)*i_AbsorpInuse2/1000</f>
        <v>#N/A</v>
      </c>
      <c r="G113" s="256" t="e">
        <f>F113/d_BwAdult</f>
        <v>#N/A</v>
      </c>
      <c r="H113" s="665" t="e">
        <f>IF(D39="Yes",I35,I32)*i_AbsorpInuse3/1000</f>
        <v>#N/A</v>
      </c>
      <c r="I113" s="256" t="e">
        <f>H113/d_BwAdult</f>
        <v>#N/A</v>
      </c>
      <c r="J113" s="665" t="e">
        <f>IF(D39="Yes",K35,K32)*i_AbsorpInuse4/1000</f>
        <v>#N/A</v>
      </c>
      <c r="K113" s="256" t="e">
        <f>J113/d_BwAdult</f>
        <v>#N/A</v>
      </c>
      <c r="L113" s="368"/>
      <c r="M113" s="368"/>
      <c r="P113" s="368"/>
    </row>
    <row r="114" spans="2:16">
      <c r="B114" s="831" t="s">
        <v>420</v>
      </c>
      <c r="C114" s="832"/>
      <c r="D114" s="665" t="e">
        <f>IF(D40&lt;&gt;"Potential exposure",E36,E33)*i_AbsorpInuse1/1000</f>
        <v>#N/A</v>
      </c>
      <c r="E114" s="256" t="e">
        <f>D114/d_BwAdult</f>
        <v>#N/A</v>
      </c>
      <c r="F114" s="665" t="e">
        <f>IF(D40&lt;&gt;"Potential exposure",G36,G33)*i_AbsorpInuse2/1000</f>
        <v>#N/A</v>
      </c>
      <c r="G114" s="256" t="e">
        <f>F114/d_BwAdult</f>
        <v>#N/A</v>
      </c>
      <c r="H114" s="665" t="e">
        <f>IF(D40&lt;&gt;"Potential exposure",I36,I33)*i_AbsorpInuse3/1000</f>
        <v>#N/A</v>
      </c>
      <c r="I114" s="256" t="e">
        <f>H114/d_BwAdult</f>
        <v>#N/A</v>
      </c>
      <c r="J114" s="665" t="e">
        <f>IF(D40&lt;&gt;"Potential exposure",K36,K33)*i_AbsorpInuse4/1000</f>
        <v>#N/A</v>
      </c>
      <c r="K114" s="256" t="e">
        <f>J114/d_BwAdult</f>
        <v>#N/A</v>
      </c>
      <c r="L114" s="368"/>
      <c r="M114" s="368"/>
      <c r="P114" s="368"/>
    </row>
    <row r="115" spans="2:16">
      <c r="B115" s="831" t="s">
        <v>104</v>
      </c>
      <c r="C115" s="832"/>
      <c r="D115" s="665" t="e">
        <f>E34*i_AbsorpInuse1*$L41/1000</f>
        <v>#N/A</v>
      </c>
      <c r="E115" s="256" t="e">
        <f>D115/d_BwAdult</f>
        <v>#N/A</v>
      </c>
      <c r="F115" s="668" t="e">
        <f>G34*i_AbsorpInuse2*$L41/1000</f>
        <v>#N/A</v>
      </c>
      <c r="G115" s="256" t="e">
        <f>F115/d_BwAdult</f>
        <v>#N/A</v>
      </c>
      <c r="H115" s="665" t="e">
        <f>I34*i_AbsorpInuse3*$L41/1000</f>
        <v>#N/A</v>
      </c>
      <c r="I115" s="256" t="e">
        <f>H115/d_BwAdult</f>
        <v>#N/A</v>
      </c>
      <c r="J115" s="665" t="e">
        <f>K34*i_AbsorpInuse4*$L41/1000</f>
        <v>#N/A</v>
      </c>
      <c r="K115" s="256" t="e">
        <f>J115/d_BwAdult</f>
        <v>#N/A</v>
      </c>
      <c r="L115" s="368"/>
      <c r="M115" s="368"/>
      <c r="P115" s="368"/>
    </row>
    <row r="116" spans="2:16">
      <c r="B116" s="831" t="s">
        <v>109</v>
      </c>
      <c r="C116" s="832"/>
      <c r="D116" s="665" t="e">
        <f>E37*i_AbsorpInhalation1*$M41/1000</f>
        <v>#N/A</v>
      </c>
      <c r="E116" s="256" t="e">
        <f>D116/d_BwAdult</f>
        <v>#N/A</v>
      </c>
      <c r="F116" s="665" t="e">
        <f>G37*i_AbsorpInhalation2*$M41/1000</f>
        <v>#N/A</v>
      </c>
      <c r="G116" s="256" t="e">
        <f>F116/d_BwAdult</f>
        <v>#N/A</v>
      </c>
      <c r="H116" s="665" t="e">
        <f>I37*i_AbsorpInhalation3*$M41/1000</f>
        <v>#N/A</v>
      </c>
      <c r="I116" s="256" t="e">
        <f>H116/d_BwAdult</f>
        <v>#N/A</v>
      </c>
      <c r="J116" s="665" t="e">
        <f>K37*i_AbsorpInhalation4*$M41/1000</f>
        <v>#N/A</v>
      </c>
      <c r="K116" s="256" t="e">
        <f>J116/d_BwAdult</f>
        <v>#N/A</v>
      </c>
      <c r="L116" s="368"/>
      <c r="M116" s="368"/>
      <c r="P116" s="368"/>
    </row>
    <row r="117" spans="2:16" ht="15.75" thickBot="1">
      <c r="B117" s="833" t="s">
        <v>449</v>
      </c>
      <c r="C117" s="834"/>
      <c r="D117" s="285" t="e">
        <f>SUM(D113:D116)</f>
        <v>#N/A</v>
      </c>
      <c r="E117" s="298" t="e">
        <f>D117/d_BwAdult</f>
        <v>#N/A</v>
      </c>
      <c r="F117" s="285" t="e">
        <f>SUM(F113:F116)</f>
        <v>#N/A</v>
      </c>
      <c r="G117" s="298" t="e">
        <f>F117/d_BwAdult</f>
        <v>#N/A</v>
      </c>
      <c r="H117" s="285" t="e">
        <f>SUM(H113:H116)</f>
        <v>#N/A</v>
      </c>
      <c r="I117" s="298" t="e">
        <f>H117/d_BwAdult</f>
        <v>#N/A</v>
      </c>
      <c r="J117" s="285" t="e">
        <f>SUM(J113:J116)</f>
        <v>#N/A</v>
      </c>
      <c r="K117" s="298" t="e">
        <f>J117/d_BwAdult</f>
        <v>#N/A</v>
      </c>
      <c r="L117" s="368"/>
      <c r="M117" s="368"/>
      <c r="P117" s="368"/>
    </row>
    <row r="118" spans="2:16">
      <c r="L118" s="362"/>
    </row>
    <row r="119" spans="2:16">
      <c r="L119" s="362"/>
    </row>
  </sheetData>
  <sheetProtection algorithmName="SHA-512" hashValue="535M1jsSmm8nhymYWVbcL0YD0imo6r99jDwozmovlQQOBUTwU5DVfolPcfPAnwMUky8zHatLq64CCFCASj5YnQ==" saltValue="tIL24AiFyH2K2zMwg9iBxg==" spinCount="100000" sheet="1" formatCells="0" formatColumns="0" formatRows="0"/>
  <mergeCells count="148">
    <mergeCell ref="D12:K12"/>
    <mergeCell ref="J4:K4"/>
    <mergeCell ref="J5:K5"/>
    <mergeCell ref="J6:K6"/>
    <mergeCell ref="B13:M13"/>
    <mergeCell ref="B46:M46"/>
    <mergeCell ref="M32:M37"/>
    <mergeCell ref="F15:G15"/>
    <mergeCell ref="H15:I15"/>
    <mergeCell ref="J15:K15"/>
    <mergeCell ref="M30:M31"/>
    <mergeCell ref="J30:K30"/>
    <mergeCell ref="L30:L31"/>
    <mergeCell ref="B15:B28"/>
    <mergeCell ref="C15:C16"/>
    <mergeCell ref="D15:E15"/>
    <mergeCell ref="L15:L16"/>
    <mergeCell ref="D28:E28"/>
    <mergeCell ref="B29:B42"/>
    <mergeCell ref="C30:C31"/>
    <mergeCell ref="D39:E39"/>
    <mergeCell ref="D38:E38"/>
    <mergeCell ref="D42:E42"/>
    <mergeCell ref="J29:K29"/>
    <mergeCell ref="B52:C52"/>
    <mergeCell ref="J14:K14"/>
    <mergeCell ref="D14:E14"/>
    <mergeCell ref="F14:G14"/>
    <mergeCell ref="H14:I14"/>
    <mergeCell ref="L42:M42"/>
    <mergeCell ref="L44:M44"/>
    <mergeCell ref="B49:C49"/>
    <mergeCell ref="L48:M48"/>
    <mergeCell ref="M15:M16"/>
    <mergeCell ref="H44:I44"/>
    <mergeCell ref="J44:K44"/>
    <mergeCell ref="H30:I30"/>
    <mergeCell ref="H29:I29"/>
    <mergeCell ref="B47:C47"/>
    <mergeCell ref="B48:C48"/>
    <mergeCell ref="F44:G44"/>
    <mergeCell ref="D24:E24"/>
    <mergeCell ref="D25:E25"/>
    <mergeCell ref="D26:E26"/>
    <mergeCell ref="D30:E30"/>
    <mergeCell ref="F30:G30"/>
    <mergeCell ref="D29:E29"/>
    <mergeCell ref="F29:G29"/>
    <mergeCell ref="D40:E40"/>
    <mergeCell ref="B92:C92"/>
    <mergeCell ref="H2:I2"/>
    <mergeCell ref="H3:I3"/>
    <mergeCell ref="E54:F54"/>
    <mergeCell ref="F56:G56"/>
    <mergeCell ref="D56:E56"/>
    <mergeCell ref="D44:E44"/>
    <mergeCell ref="E55:F55"/>
    <mergeCell ref="F88:G88"/>
    <mergeCell ref="H88:I88"/>
    <mergeCell ref="B84:C84"/>
    <mergeCell ref="B50:M50"/>
    <mergeCell ref="L52:M52"/>
    <mergeCell ref="H4:I4"/>
    <mergeCell ref="H5:I5"/>
    <mergeCell ref="H6:I6"/>
    <mergeCell ref="B51:C51"/>
    <mergeCell ref="J3:K3"/>
    <mergeCell ref="J2:K2"/>
    <mergeCell ref="D11:K11"/>
    <mergeCell ref="D4:E4"/>
    <mergeCell ref="D5:E5"/>
    <mergeCell ref="D6:E6"/>
    <mergeCell ref="D7:K7"/>
    <mergeCell ref="D8:K8"/>
    <mergeCell ref="D9:K9"/>
    <mergeCell ref="D10:K10"/>
    <mergeCell ref="F4:G4"/>
    <mergeCell ref="F5:G5"/>
    <mergeCell ref="F6:G6"/>
    <mergeCell ref="D2:E2"/>
    <mergeCell ref="D3:E3"/>
    <mergeCell ref="F2:G2"/>
    <mergeCell ref="F3:G3"/>
    <mergeCell ref="B105:C105"/>
    <mergeCell ref="B111:C111"/>
    <mergeCell ref="B94:C94"/>
    <mergeCell ref="B95:C95"/>
    <mergeCell ref="B96:C96"/>
    <mergeCell ref="B97:C97"/>
    <mergeCell ref="B100:C100"/>
    <mergeCell ref="B101:C101"/>
    <mergeCell ref="B102:C102"/>
    <mergeCell ref="B98:C98"/>
    <mergeCell ref="B99:C99"/>
    <mergeCell ref="B117:C117"/>
    <mergeCell ref="B106:C106"/>
    <mergeCell ref="B107:C107"/>
    <mergeCell ref="B108:C108"/>
    <mergeCell ref="B109:C109"/>
    <mergeCell ref="B110:C110"/>
    <mergeCell ref="B115:C115"/>
    <mergeCell ref="B116:C116"/>
    <mergeCell ref="B112:C112"/>
    <mergeCell ref="B113:C113"/>
    <mergeCell ref="B114:C114"/>
    <mergeCell ref="F104:G104"/>
    <mergeCell ref="B93:C93"/>
    <mergeCell ref="J88:K88"/>
    <mergeCell ref="D72:E72"/>
    <mergeCell ref="B64:C64"/>
    <mergeCell ref="B82:C82"/>
    <mergeCell ref="D88:E88"/>
    <mergeCell ref="B80:C80"/>
    <mergeCell ref="B73:C73"/>
    <mergeCell ref="B83:C83"/>
    <mergeCell ref="F72:G72"/>
    <mergeCell ref="H72:I72"/>
    <mergeCell ref="D104:E104"/>
    <mergeCell ref="B89:C89"/>
    <mergeCell ref="B85:C85"/>
    <mergeCell ref="B74:C74"/>
    <mergeCell ref="B75:C75"/>
    <mergeCell ref="B76:C76"/>
    <mergeCell ref="B77:C77"/>
    <mergeCell ref="B78:C78"/>
    <mergeCell ref="H104:I104"/>
    <mergeCell ref="J104:K104"/>
    <mergeCell ref="B90:C90"/>
    <mergeCell ref="B91:C91"/>
    <mergeCell ref="J72:K72"/>
    <mergeCell ref="H56:I56"/>
    <mergeCell ref="B58:C58"/>
    <mergeCell ref="J56:K56"/>
    <mergeCell ref="B62:C62"/>
    <mergeCell ref="B79:C79"/>
    <mergeCell ref="B81:C81"/>
    <mergeCell ref="B67:C67"/>
    <mergeCell ref="B68:C68"/>
    <mergeCell ref="B69:C69"/>
    <mergeCell ref="B70:C70"/>
    <mergeCell ref="B72:C72"/>
    <mergeCell ref="B57:C57"/>
    <mergeCell ref="B59:C59"/>
    <mergeCell ref="B65:C65"/>
    <mergeCell ref="B66:C66"/>
    <mergeCell ref="B60:C60"/>
    <mergeCell ref="B61:C61"/>
    <mergeCell ref="B63:C63"/>
  </mergeCells>
  <conditionalFormatting sqref="D47:E48 D51:E52 D59:E63 D65:E70 D75:E79 D81:E85 D91:E95 D107:E111 D113:E117 D97:E102">
    <cfRule type="cellIs" dxfId="5356" priority="283" operator="greaterThanOrEqual">
      <formula>10</formula>
    </cfRule>
    <cfRule type="cellIs" dxfId="5355" priority="284" operator="between">
      <formula>1</formula>
      <formula>10</formula>
    </cfRule>
    <cfRule type="cellIs" dxfId="5354" priority="285" operator="between">
      <formula>0.1</formula>
      <formula>1</formula>
    </cfRule>
    <cfRule type="cellIs" dxfId="5353" priority="286" operator="between">
      <formula>0.001</formula>
      <formula>0.01</formula>
    </cfRule>
    <cfRule type="cellIs" dxfId="5352" priority="287" operator="between">
      <formula>0</formula>
      <formula>0.001</formula>
    </cfRule>
    <cfRule type="cellIs" dxfId="5351" priority="288" operator="between">
      <formula>0.01</formula>
      <formula>0.1</formula>
    </cfRule>
  </conditionalFormatting>
  <conditionalFormatting sqref="D17:E23">
    <cfRule type="cellIs" dxfId="5350" priority="277" operator="between">
      <formula>10</formula>
      <formula>100</formula>
    </cfRule>
    <cfRule type="cellIs" dxfId="5349" priority="278" operator="between">
      <formula>1</formula>
      <formula>10</formula>
    </cfRule>
    <cfRule type="cellIs" dxfId="5348" priority="279" operator="between">
      <formula>0.1</formula>
      <formula>1</formula>
    </cfRule>
    <cfRule type="cellIs" dxfId="5347" priority="280" operator="between">
      <formula>0.001</formula>
      <formula>0.01</formula>
    </cfRule>
    <cfRule type="cellIs" dxfId="5346" priority="281" operator="between">
      <formula>0</formula>
      <formula>0.001</formula>
    </cfRule>
    <cfRule type="cellIs" dxfId="5345" priority="282" operator="between">
      <formula>0.01</formula>
      <formula>0.1</formula>
    </cfRule>
  </conditionalFormatting>
  <conditionalFormatting sqref="D17:K17">
    <cfRule type="cellIs" dxfId="5344" priority="275" operator="greaterThanOrEqual">
      <formula>10000</formula>
    </cfRule>
    <cfRule type="cellIs" dxfId="5343" priority="276" operator="greaterThanOrEqual">
      <formula>100</formula>
    </cfRule>
  </conditionalFormatting>
  <conditionalFormatting sqref="D18:E23">
    <cfRule type="cellIs" dxfId="5342" priority="289" operator="greaterThanOrEqual">
      <formula>100</formula>
    </cfRule>
  </conditionalFormatting>
  <conditionalFormatting sqref="D18:E23">
    <cfRule type="cellIs" dxfId="5341" priority="273" operator="greaterThanOrEqual">
      <formula>10000</formula>
    </cfRule>
    <cfRule type="cellIs" dxfId="5340" priority="274" operator="greaterThanOrEqual">
      <formula>100</formula>
    </cfRule>
  </conditionalFormatting>
  <conditionalFormatting sqref="D32:E37">
    <cfRule type="cellIs" dxfId="5339" priority="266" operator="between">
      <formula>10</formula>
      <formula>100</formula>
    </cfRule>
    <cfRule type="cellIs" dxfId="5338" priority="267" operator="between">
      <formula>1</formula>
      <formula>10</formula>
    </cfRule>
    <cfRule type="cellIs" dxfId="5337" priority="268" operator="between">
      <formula>0.1</formula>
      <formula>1</formula>
    </cfRule>
    <cfRule type="cellIs" dxfId="5336" priority="269" operator="between">
      <formula>0.001</formula>
      <formula>0.01</formula>
    </cfRule>
    <cfRule type="cellIs" dxfId="5335" priority="270" operator="between">
      <formula>0</formula>
      <formula>0.001</formula>
    </cfRule>
    <cfRule type="cellIs" dxfId="5334" priority="271" operator="between">
      <formula>0.01</formula>
      <formula>0.1</formula>
    </cfRule>
  </conditionalFormatting>
  <conditionalFormatting sqref="D32:E37">
    <cfRule type="cellIs" dxfId="5333" priority="272" operator="greaterThanOrEqual">
      <formula>100</formula>
    </cfRule>
  </conditionalFormatting>
  <conditionalFormatting sqref="D32:E37">
    <cfRule type="cellIs" dxfId="5332" priority="264" operator="greaterThanOrEqual">
      <formula>10000</formula>
    </cfRule>
    <cfRule type="cellIs" dxfId="5331" priority="265" operator="greaterThanOrEqual">
      <formula>100</formula>
    </cfRule>
  </conditionalFormatting>
  <conditionalFormatting sqref="F17:G23">
    <cfRule type="cellIs" dxfId="5330" priority="257" operator="between">
      <formula>10</formula>
      <formula>100</formula>
    </cfRule>
    <cfRule type="cellIs" dxfId="5329" priority="258" operator="between">
      <formula>1</formula>
      <formula>10</formula>
    </cfRule>
    <cfRule type="cellIs" dxfId="5328" priority="259" operator="between">
      <formula>0.1</formula>
      <formula>1</formula>
    </cfRule>
    <cfRule type="cellIs" dxfId="5327" priority="260" operator="between">
      <formula>0.001</formula>
      <formula>0.01</formula>
    </cfRule>
    <cfRule type="cellIs" dxfId="5326" priority="261" operator="between">
      <formula>0</formula>
      <formula>0.001</formula>
    </cfRule>
    <cfRule type="cellIs" dxfId="5325" priority="262" operator="between">
      <formula>0.01</formula>
      <formula>0.1</formula>
    </cfRule>
  </conditionalFormatting>
  <conditionalFormatting sqref="F18:G23">
    <cfRule type="cellIs" dxfId="5324" priority="263" operator="greaterThanOrEqual">
      <formula>100</formula>
    </cfRule>
  </conditionalFormatting>
  <conditionalFormatting sqref="F18:G23">
    <cfRule type="cellIs" dxfId="5323" priority="255" operator="greaterThanOrEqual">
      <formula>10000</formula>
    </cfRule>
    <cfRule type="cellIs" dxfId="5322" priority="256" operator="greaterThanOrEqual">
      <formula>100</formula>
    </cfRule>
  </conditionalFormatting>
  <conditionalFormatting sqref="H17:I23">
    <cfRule type="cellIs" dxfId="5321" priority="248" operator="between">
      <formula>10</formula>
      <formula>100</formula>
    </cfRule>
    <cfRule type="cellIs" dxfId="5320" priority="249" operator="between">
      <formula>1</formula>
      <formula>10</formula>
    </cfRule>
    <cfRule type="cellIs" dxfId="5319" priority="250" operator="between">
      <formula>0.1</formula>
      <formula>1</formula>
    </cfRule>
    <cfRule type="cellIs" dxfId="5318" priority="251" operator="between">
      <formula>0.001</formula>
      <formula>0.01</formula>
    </cfRule>
    <cfRule type="cellIs" dxfId="5317" priority="252" operator="between">
      <formula>0</formula>
      <formula>0.001</formula>
    </cfRule>
    <cfRule type="cellIs" dxfId="5316" priority="253" operator="between">
      <formula>0.01</formula>
      <formula>0.1</formula>
    </cfRule>
  </conditionalFormatting>
  <conditionalFormatting sqref="H18:I23 I17">
    <cfRule type="cellIs" dxfId="5315" priority="254" operator="greaterThanOrEqual">
      <formula>100</formula>
    </cfRule>
  </conditionalFormatting>
  <conditionalFormatting sqref="H18:I23 I17">
    <cfRule type="cellIs" dxfId="5314" priority="246" operator="greaterThanOrEqual">
      <formula>10000</formula>
    </cfRule>
    <cfRule type="cellIs" dxfId="5313" priority="247" operator="greaterThanOrEqual">
      <formula>100</formula>
    </cfRule>
  </conditionalFormatting>
  <conditionalFormatting sqref="J17:K23">
    <cfRule type="cellIs" dxfId="5312" priority="239" operator="between">
      <formula>10</formula>
      <formula>100</formula>
    </cfRule>
    <cfRule type="cellIs" dxfId="5311" priority="240" operator="between">
      <formula>1</formula>
      <formula>10</formula>
    </cfRule>
    <cfRule type="cellIs" dxfId="5310" priority="241" operator="between">
      <formula>0.1</formula>
      <formula>1</formula>
    </cfRule>
    <cfRule type="cellIs" dxfId="5309" priority="242" operator="between">
      <formula>0.001</formula>
      <formula>0.01</formula>
    </cfRule>
    <cfRule type="cellIs" dxfId="5308" priority="243" operator="between">
      <formula>0</formula>
      <formula>0.001</formula>
    </cfRule>
    <cfRule type="cellIs" dxfId="5307" priority="244" operator="between">
      <formula>0.01</formula>
      <formula>0.1</formula>
    </cfRule>
  </conditionalFormatting>
  <conditionalFormatting sqref="J18:K23">
    <cfRule type="cellIs" dxfId="5306" priority="245" operator="greaterThanOrEqual">
      <formula>100</formula>
    </cfRule>
  </conditionalFormatting>
  <conditionalFormatting sqref="J18:K23">
    <cfRule type="cellIs" dxfId="5305" priority="237" operator="greaterThanOrEqual">
      <formula>10000</formula>
    </cfRule>
    <cfRule type="cellIs" dxfId="5304" priority="238" operator="greaterThanOrEqual">
      <formula>100</formula>
    </cfRule>
  </conditionalFormatting>
  <conditionalFormatting sqref="F32:G37">
    <cfRule type="cellIs" dxfId="5303" priority="230" operator="between">
      <formula>10</formula>
      <formula>100</formula>
    </cfRule>
    <cfRule type="cellIs" dxfId="5302" priority="231" operator="between">
      <formula>1</formula>
      <formula>10</formula>
    </cfRule>
    <cfRule type="cellIs" dxfId="5301" priority="232" operator="between">
      <formula>0.1</formula>
      <formula>1</formula>
    </cfRule>
    <cfRule type="cellIs" dxfId="5300" priority="233" operator="between">
      <formula>0.001</formula>
      <formula>0.01</formula>
    </cfRule>
    <cfRule type="cellIs" dxfId="5299" priority="234" operator="between">
      <formula>0</formula>
      <formula>0.001</formula>
    </cfRule>
    <cfRule type="cellIs" dxfId="5298" priority="235" operator="between">
      <formula>0.01</formula>
      <formula>0.1</formula>
    </cfRule>
  </conditionalFormatting>
  <conditionalFormatting sqref="F32:G37">
    <cfRule type="cellIs" dxfId="5297" priority="236" operator="greaterThanOrEqual">
      <formula>100</formula>
    </cfRule>
  </conditionalFormatting>
  <conditionalFormatting sqref="F32:G37">
    <cfRule type="cellIs" dxfId="5296" priority="228" operator="greaterThanOrEqual">
      <formula>10000</formula>
    </cfRule>
    <cfRule type="cellIs" dxfId="5295" priority="229" operator="greaterThanOrEqual">
      <formula>100</formula>
    </cfRule>
  </conditionalFormatting>
  <conditionalFormatting sqref="H32:I37">
    <cfRule type="cellIs" dxfId="5294" priority="221" operator="between">
      <formula>10</formula>
      <formula>100</formula>
    </cfRule>
    <cfRule type="cellIs" dxfId="5293" priority="222" operator="between">
      <formula>1</formula>
      <formula>10</formula>
    </cfRule>
    <cfRule type="cellIs" dxfId="5292" priority="223" operator="between">
      <formula>0.1</formula>
      <formula>1</formula>
    </cfRule>
    <cfRule type="cellIs" dxfId="5291" priority="224" operator="between">
      <formula>0.001</formula>
      <formula>0.01</formula>
    </cfRule>
    <cfRule type="cellIs" dxfId="5290" priority="225" operator="between">
      <formula>0</formula>
      <formula>0.001</formula>
    </cfRule>
    <cfRule type="cellIs" dxfId="5289" priority="226" operator="between">
      <formula>0.01</formula>
      <formula>0.1</formula>
    </cfRule>
  </conditionalFormatting>
  <conditionalFormatting sqref="H32:I37">
    <cfRule type="cellIs" dxfId="5288" priority="227" operator="greaterThanOrEqual">
      <formula>100</formula>
    </cfRule>
  </conditionalFormatting>
  <conditionalFormatting sqref="H32:I37">
    <cfRule type="cellIs" dxfId="5287" priority="219" operator="greaterThanOrEqual">
      <formula>10000</formula>
    </cfRule>
    <cfRule type="cellIs" dxfId="5286" priority="220" operator="greaterThanOrEqual">
      <formula>100</formula>
    </cfRule>
  </conditionalFormatting>
  <conditionalFormatting sqref="J32:K37">
    <cfRule type="cellIs" dxfId="5285" priority="212" operator="between">
      <formula>10</formula>
      <formula>100</formula>
    </cfRule>
    <cfRule type="cellIs" dxfId="5284" priority="213" operator="between">
      <formula>1</formula>
      <formula>10</formula>
    </cfRule>
    <cfRule type="cellIs" dxfId="5283" priority="214" operator="between">
      <formula>0.1</formula>
      <formula>1</formula>
    </cfRule>
    <cfRule type="cellIs" dxfId="5282" priority="215" operator="between">
      <formula>0.001</formula>
      <formula>0.01</formula>
    </cfRule>
    <cfRule type="cellIs" dxfId="5281" priority="216" operator="between">
      <formula>0</formula>
      <formula>0.001</formula>
    </cfRule>
    <cfRule type="cellIs" dxfId="5280" priority="217" operator="between">
      <formula>0.01</formula>
      <formula>0.1</formula>
    </cfRule>
  </conditionalFormatting>
  <conditionalFormatting sqref="J32:K37">
    <cfRule type="cellIs" dxfId="5279" priority="218" operator="greaterThanOrEqual">
      <formula>100</formula>
    </cfRule>
  </conditionalFormatting>
  <conditionalFormatting sqref="J32:K37">
    <cfRule type="cellIs" dxfId="5278" priority="210" operator="greaterThanOrEqual">
      <formula>10000</formula>
    </cfRule>
    <cfRule type="cellIs" dxfId="5277" priority="211" operator="greaterThanOrEqual">
      <formula>100</formula>
    </cfRule>
  </conditionalFormatting>
  <conditionalFormatting sqref="F47:G48 F51:G52">
    <cfRule type="cellIs" dxfId="5276" priority="204" operator="greaterThanOrEqual">
      <formula>10</formula>
    </cfRule>
    <cfRule type="cellIs" dxfId="5275" priority="205" operator="between">
      <formula>1</formula>
      <formula>10</formula>
    </cfRule>
    <cfRule type="cellIs" dxfId="5274" priority="206" operator="between">
      <formula>0.1</formula>
      <formula>1</formula>
    </cfRule>
    <cfRule type="cellIs" dxfId="5273" priority="207" operator="between">
      <formula>0.001</formula>
      <formula>0.01</formula>
    </cfRule>
    <cfRule type="cellIs" dxfId="5272" priority="208" operator="between">
      <formula>0</formula>
      <formula>0.001</formula>
    </cfRule>
    <cfRule type="cellIs" dxfId="5271" priority="209" operator="between">
      <formula>0.01</formula>
      <formula>0.1</formula>
    </cfRule>
  </conditionalFormatting>
  <conditionalFormatting sqref="G67:G68 G70 F59:K63 F65:K66 F69:K69 I67:I68 K67:K68 I70 K70">
    <cfRule type="cellIs" dxfId="5270" priority="198" operator="greaterThanOrEqual">
      <formula>10</formula>
    </cfRule>
    <cfRule type="cellIs" dxfId="5269" priority="199" operator="between">
      <formula>1</formula>
      <formula>10</formula>
    </cfRule>
    <cfRule type="cellIs" dxfId="5268" priority="200" operator="between">
      <formula>0.1</formula>
      <formula>1</formula>
    </cfRule>
    <cfRule type="cellIs" dxfId="5267" priority="201" operator="between">
      <formula>0.001</formula>
      <formula>0.01</formula>
    </cfRule>
    <cfRule type="cellIs" dxfId="5266" priority="202" operator="between">
      <formula>0</formula>
      <formula>0.001</formula>
    </cfRule>
    <cfRule type="cellIs" dxfId="5265" priority="203" operator="between">
      <formula>0.01</formula>
      <formula>0.1</formula>
    </cfRule>
  </conditionalFormatting>
  <conditionalFormatting sqref="F75:G79 F81:G83 F85:G85 G84">
    <cfRule type="cellIs" dxfId="5264" priority="192" operator="greaterThanOrEqual">
      <formula>10</formula>
    </cfRule>
    <cfRule type="cellIs" dxfId="5263" priority="193" operator="between">
      <formula>1</formula>
      <formula>10</formula>
    </cfRule>
    <cfRule type="cellIs" dxfId="5262" priority="194" operator="between">
      <formula>0.1</formula>
      <formula>1</formula>
    </cfRule>
    <cfRule type="cellIs" dxfId="5261" priority="195" operator="between">
      <formula>0.001</formula>
      <formula>0.01</formula>
    </cfRule>
    <cfRule type="cellIs" dxfId="5260" priority="196" operator="between">
      <formula>0</formula>
      <formula>0.001</formula>
    </cfRule>
    <cfRule type="cellIs" dxfId="5259" priority="197" operator="between">
      <formula>0.01</formula>
      <formula>0.1</formula>
    </cfRule>
  </conditionalFormatting>
  <conditionalFormatting sqref="G99:G100 I99:I100 K99:K100 I102 K102 F91:K95 F97:K98 F101:K101">
    <cfRule type="cellIs" dxfId="5258" priority="186" operator="greaterThanOrEqual">
      <formula>10</formula>
    </cfRule>
    <cfRule type="cellIs" dxfId="5257" priority="187" operator="between">
      <formula>1</formula>
      <formula>10</formula>
    </cfRule>
    <cfRule type="cellIs" dxfId="5256" priority="188" operator="between">
      <formula>0.1</formula>
      <formula>1</formula>
    </cfRule>
    <cfRule type="cellIs" dxfId="5255" priority="189" operator="between">
      <formula>0.001</formula>
      <formula>0.01</formula>
    </cfRule>
    <cfRule type="cellIs" dxfId="5254" priority="190" operator="between">
      <formula>0</formula>
      <formula>0.001</formula>
    </cfRule>
    <cfRule type="cellIs" dxfId="5253" priority="191" operator="between">
      <formula>0.01</formula>
      <formula>0.1</formula>
    </cfRule>
  </conditionalFormatting>
  <conditionalFormatting sqref="F107:G111 F113:G114 F117:G117 G115:G116">
    <cfRule type="cellIs" dxfId="5252" priority="180" operator="greaterThanOrEqual">
      <formula>10</formula>
    </cfRule>
    <cfRule type="cellIs" dxfId="5251" priority="181" operator="between">
      <formula>1</formula>
      <formula>10</formula>
    </cfRule>
    <cfRule type="cellIs" dxfId="5250" priority="182" operator="between">
      <formula>0.1</formula>
      <formula>1</formula>
    </cfRule>
    <cfRule type="cellIs" dxfId="5249" priority="183" operator="between">
      <formula>0.001</formula>
      <formula>0.01</formula>
    </cfRule>
    <cfRule type="cellIs" dxfId="5248" priority="184" operator="between">
      <formula>0</formula>
      <formula>0.001</formula>
    </cfRule>
    <cfRule type="cellIs" dxfId="5247" priority="185" operator="between">
      <formula>0.01</formula>
      <formula>0.1</formula>
    </cfRule>
  </conditionalFormatting>
  <conditionalFormatting sqref="F67">
    <cfRule type="cellIs" dxfId="5246" priority="174" operator="greaterThanOrEqual">
      <formula>10</formula>
    </cfRule>
    <cfRule type="cellIs" dxfId="5245" priority="175" operator="between">
      <formula>1</formula>
      <formula>10</formula>
    </cfRule>
    <cfRule type="cellIs" dxfId="5244" priority="176" operator="between">
      <formula>0.1</formula>
      <formula>1</formula>
    </cfRule>
    <cfRule type="cellIs" dxfId="5243" priority="177" operator="between">
      <formula>0.001</formula>
      <formula>0.01</formula>
    </cfRule>
    <cfRule type="cellIs" dxfId="5242" priority="178" operator="between">
      <formula>0</formula>
      <formula>0.001</formula>
    </cfRule>
    <cfRule type="cellIs" dxfId="5241" priority="179" operator="between">
      <formula>0.01</formula>
      <formula>0.1</formula>
    </cfRule>
  </conditionalFormatting>
  <conditionalFormatting sqref="F68">
    <cfRule type="cellIs" dxfId="5240" priority="168" operator="greaterThanOrEqual">
      <formula>10</formula>
    </cfRule>
    <cfRule type="cellIs" dxfId="5239" priority="169" operator="between">
      <formula>1</formula>
      <formula>10</formula>
    </cfRule>
    <cfRule type="cellIs" dxfId="5238" priority="170" operator="between">
      <formula>0.1</formula>
      <formula>1</formula>
    </cfRule>
    <cfRule type="cellIs" dxfId="5237" priority="171" operator="between">
      <formula>0.001</formula>
      <formula>0.01</formula>
    </cfRule>
    <cfRule type="cellIs" dxfId="5236" priority="172" operator="between">
      <formula>0</formula>
      <formula>0.001</formula>
    </cfRule>
    <cfRule type="cellIs" dxfId="5235" priority="173" operator="between">
      <formula>0.01</formula>
      <formula>0.1</formula>
    </cfRule>
  </conditionalFormatting>
  <conditionalFormatting sqref="F70">
    <cfRule type="cellIs" dxfId="5234" priority="162" operator="greaterThanOrEqual">
      <formula>10</formula>
    </cfRule>
    <cfRule type="cellIs" dxfId="5233" priority="163" operator="between">
      <formula>1</formula>
      <formula>10</formula>
    </cfRule>
    <cfRule type="cellIs" dxfId="5232" priority="164" operator="between">
      <formula>0.1</formula>
      <formula>1</formula>
    </cfRule>
    <cfRule type="cellIs" dxfId="5231" priority="165" operator="between">
      <formula>0.001</formula>
      <formula>0.01</formula>
    </cfRule>
    <cfRule type="cellIs" dxfId="5230" priority="166" operator="between">
      <formula>0</formula>
      <formula>0.001</formula>
    </cfRule>
    <cfRule type="cellIs" dxfId="5229" priority="167" operator="between">
      <formula>0.01</formula>
      <formula>0.1</formula>
    </cfRule>
  </conditionalFormatting>
  <conditionalFormatting sqref="F84">
    <cfRule type="cellIs" dxfId="5228" priority="156" operator="greaterThanOrEqual">
      <formula>10</formula>
    </cfRule>
    <cfRule type="cellIs" dxfId="5227" priority="157" operator="between">
      <formula>1</formula>
      <formula>10</formula>
    </cfRule>
    <cfRule type="cellIs" dxfId="5226" priority="158" operator="between">
      <formula>0.1</formula>
      <formula>1</formula>
    </cfRule>
    <cfRule type="cellIs" dxfId="5225" priority="159" operator="between">
      <formula>0.001</formula>
      <formula>0.01</formula>
    </cfRule>
    <cfRule type="cellIs" dxfId="5224" priority="160" operator="between">
      <formula>0</formula>
      <formula>0.001</formula>
    </cfRule>
    <cfRule type="cellIs" dxfId="5223" priority="161" operator="between">
      <formula>0.01</formula>
      <formula>0.1</formula>
    </cfRule>
  </conditionalFormatting>
  <conditionalFormatting sqref="F99">
    <cfRule type="cellIs" dxfId="5222" priority="150" operator="greaterThanOrEqual">
      <formula>10</formula>
    </cfRule>
    <cfRule type="cellIs" dxfId="5221" priority="151" operator="between">
      <formula>1</formula>
      <formula>10</formula>
    </cfRule>
    <cfRule type="cellIs" dxfId="5220" priority="152" operator="between">
      <formula>0.1</formula>
      <formula>1</formula>
    </cfRule>
    <cfRule type="cellIs" dxfId="5219" priority="153" operator="between">
      <formula>0.001</formula>
      <formula>0.01</formula>
    </cfRule>
    <cfRule type="cellIs" dxfId="5218" priority="154" operator="between">
      <formula>0</formula>
      <formula>0.001</formula>
    </cfRule>
    <cfRule type="cellIs" dxfId="5217" priority="155" operator="between">
      <formula>0.01</formula>
      <formula>0.1</formula>
    </cfRule>
  </conditionalFormatting>
  <conditionalFormatting sqref="F100">
    <cfRule type="cellIs" dxfId="5216" priority="144" operator="greaterThanOrEqual">
      <formula>10</formula>
    </cfRule>
    <cfRule type="cellIs" dxfId="5215" priority="145" operator="between">
      <formula>1</formula>
      <formula>10</formula>
    </cfRule>
    <cfRule type="cellIs" dxfId="5214" priority="146" operator="between">
      <formula>0.1</formula>
      <formula>1</formula>
    </cfRule>
    <cfRule type="cellIs" dxfId="5213" priority="147" operator="between">
      <formula>0.001</formula>
      <formula>0.01</formula>
    </cfRule>
    <cfRule type="cellIs" dxfId="5212" priority="148" operator="between">
      <formula>0</formula>
      <formula>0.001</formula>
    </cfRule>
    <cfRule type="cellIs" dxfId="5211" priority="149" operator="between">
      <formula>0.01</formula>
      <formula>0.1</formula>
    </cfRule>
  </conditionalFormatting>
  <conditionalFormatting sqref="F115">
    <cfRule type="cellIs" dxfId="5210" priority="138" operator="greaterThanOrEqual">
      <formula>10</formula>
    </cfRule>
    <cfRule type="cellIs" dxfId="5209" priority="139" operator="between">
      <formula>1</formula>
      <formula>10</formula>
    </cfRule>
    <cfRule type="cellIs" dxfId="5208" priority="140" operator="between">
      <formula>0.1</formula>
      <formula>1</formula>
    </cfRule>
    <cfRule type="cellIs" dxfId="5207" priority="141" operator="between">
      <formula>0.001</formula>
      <formula>0.01</formula>
    </cfRule>
    <cfRule type="cellIs" dxfId="5206" priority="142" operator="between">
      <formula>0</formula>
      <formula>0.001</formula>
    </cfRule>
    <cfRule type="cellIs" dxfId="5205" priority="143" operator="between">
      <formula>0.01</formula>
      <formula>0.1</formula>
    </cfRule>
  </conditionalFormatting>
  <conditionalFormatting sqref="F116">
    <cfRule type="cellIs" dxfId="5204" priority="132" operator="greaterThanOrEqual">
      <formula>10</formula>
    </cfRule>
    <cfRule type="cellIs" dxfId="5203" priority="133" operator="between">
      <formula>1</formula>
      <formula>10</formula>
    </cfRule>
    <cfRule type="cellIs" dxfId="5202" priority="134" operator="between">
      <formula>0.1</formula>
      <formula>1</formula>
    </cfRule>
    <cfRule type="cellIs" dxfId="5201" priority="135" operator="between">
      <formula>0.001</formula>
      <formula>0.01</formula>
    </cfRule>
    <cfRule type="cellIs" dxfId="5200" priority="136" operator="between">
      <formula>0</formula>
      <formula>0.001</formula>
    </cfRule>
    <cfRule type="cellIs" dxfId="5199" priority="137" operator="between">
      <formula>0.01</formula>
      <formula>0.1</formula>
    </cfRule>
  </conditionalFormatting>
  <conditionalFormatting sqref="H67 J67">
    <cfRule type="cellIs" dxfId="5198" priority="126" operator="greaterThanOrEqual">
      <formula>10</formula>
    </cfRule>
    <cfRule type="cellIs" dxfId="5197" priority="127" operator="between">
      <formula>1</formula>
      <formula>10</formula>
    </cfRule>
    <cfRule type="cellIs" dxfId="5196" priority="128" operator="between">
      <formula>0.1</formula>
      <formula>1</formula>
    </cfRule>
    <cfRule type="cellIs" dxfId="5195" priority="129" operator="between">
      <formula>0.001</formula>
      <formula>0.01</formula>
    </cfRule>
    <cfRule type="cellIs" dxfId="5194" priority="130" operator="between">
      <formula>0</formula>
      <formula>0.001</formula>
    </cfRule>
    <cfRule type="cellIs" dxfId="5193" priority="131" operator="between">
      <formula>0.01</formula>
      <formula>0.1</formula>
    </cfRule>
  </conditionalFormatting>
  <conditionalFormatting sqref="H68 J68">
    <cfRule type="cellIs" dxfId="5192" priority="120" operator="greaterThanOrEqual">
      <formula>10</formula>
    </cfRule>
    <cfRule type="cellIs" dxfId="5191" priority="121" operator="between">
      <formula>1</formula>
      <formula>10</formula>
    </cfRule>
    <cfRule type="cellIs" dxfId="5190" priority="122" operator="between">
      <formula>0.1</formula>
      <formula>1</formula>
    </cfRule>
    <cfRule type="cellIs" dxfId="5189" priority="123" operator="between">
      <formula>0.001</formula>
      <formula>0.01</formula>
    </cfRule>
    <cfRule type="cellIs" dxfId="5188" priority="124" operator="between">
      <formula>0</formula>
      <formula>0.001</formula>
    </cfRule>
    <cfRule type="cellIs" dxfId="5187" priority="125" operator="between">
      <formula>0.01</formula>
      <formula>0.1</formula>
    </cfRule>
  </conditionalFormatting>
  <conditionalFormatting sqref="H70 J70">
    <cfRule type="cellIs" dxfId="5186" priority="114" operator="greaterThanOrEqual">
      <formula>10</formula>
    </cfRule>
    <cfRule type="cellIs" dxfId="5185" priority="115" operator="between">
      <formula>1</formula>
      <formula>10</formula>
    </cfRule>
    <cfRule type="cellIs" dxfId="5184" priority="116" operator="between">
      <formula>0.1</formula>
      <formula>1</formula>
    </cfRule>
    <cfRule type="cellIs" dxfId="5183" priority="117" operator="between">
      <formula>0.001</formula>
      <formula>0.01</formula>
    </cfRule>
    <cfRule type="cellIs" dxfId="5182" priority="118" operator="between">
      <formula>0</formula>
      <formula>0.001</formula>
    </cfRule>
    <cfRule type="cellIs" dxfId="5181" priority="119" operator="between">
      <formula>0.01</formula>
      <formula>0.1</formula>
    </cfRule>
  </conditionalFormatting>
  <conditionalFormatting sqref="H47:K48">
    <cfRule type="cellIs" dxfId="5180" priority="108" operator="greaterThanOrEqual">
      <formula>10</formula>
    </cfRule>
    <cfRule type="cellIs" dxfId="5179" priority="109" operator="between">
      <formula>1</formula>
      <formula>10</formula>
    </cfRule>
    <cfRule type="cellIs" dxfId="5178" priority="110" operator="between">
      <formula>0.1</formula>
      <formula>1</formula>
    </cfRule>
    <cfRule type="cellIs" dxfId="5177" priority="111" operator="between">
      <formula>0.001</formula>
      <formula>0.01</formula>
    </cfRule>
    <cfRule type="cellIs" dxfId="5176" priority="112" operator="between">
      <formula>0</formula>
      <formula>0.001</formula>
    </cfRule>
    <cfRule type="cellIs" dxfId="5175" priority="113" operator="between">
      <formula>0.01</formula>
      <formula>0.1</formula>
    </cfRule>
  </conditionalFormatting>
  <conditionalFormatting sqref="H51:K52">
    <cfRule type="cellIs" dxfId="5174" priority="102" operator="greaterThanOrEqual">
      <formula>10</formula>
    </cfRule>
    <cfRule type="cellIs" dxfId="5173" priority="103" operator="between">
      <formula>1</formula>
      <formula>10</formula>
    </cfRule>
    <cfRule type="cellIs" dxfId="5172" priority="104" operator="between">
      <formula>0.1</formula>
      <formula>1</formula>
    </cfRule>
    <cfRule type="cellIs" dxfId="5171" priority="105" operator="between">
      <formula>0.001</formula>
      <formula>0.01</formula>
    </cfRule>
    <cfRule type="cellIs" dxfId="5170" priority="106" operator="between">
      <formula>0</formula>
      <formula>0.001</formula>
    </cfRule>
    <cfRule type="cellIs" dxfId="5169" priority="107" operator="between">
      <formula>0.01</formula>
      <formula>0.1</formula>
    </cfRule>
  </conditionalFormatting>
  <conditionalFormatting sqref="H75:K79 H81:K85">
    <cfRule type="cellIs" dxfId="5168" priority="96" operator="greaterThanOrEqual">
      <formula>10</formula>
    </cfRule>
    <cfRule type="cellIs" dxfId="5167" priority="97" operator="between">
      <formula>1</formula>
      <formula>10</formula>
    </cfRule>
    <cfRule type="cellIs" dxfId="5166" priority="98" operator="between">
      <formula>0.1</formula>
      <formula>1</formula>
    </cfRule>
    <cfRule type="cellIs" dxfId="5165" priority="99" operator="between">
      <formula>0.001</formula>
      <formula>0.01</formula>
    </cfRule>
    <cfRule type="cellIs" dxfId="5164" priority="100" operator="between">
      <formula>0</formula>
      <formula>0.001</formula>
    </cfRule>
    <cfRule type="cellIs" dxfId="5163" priority="101" operator="between">
      <formula>0.01</formula>
      <formula>0.1</formula>
    </cfRule>
  </conditionalFormatting>
  <conditionalFormatting sqref="H107:K111 H113:K117">
    <cfRule type="cellIs" dxfId="5162" priority="90" operator="greaterThanOrEqual">
      <formula>10</formula>
    </cfRule>
    <cfRule type="cellIs" dxfId="5161" priority="91" operator="between">
      <formula>1</formula>
      <formula>10</formula>
    </cfRule>
    <cfRule type="cellIs" dxfId="5160" priority="92" operator="between">
      <formula>0.1</formula>
      <formula>1</formula>
    </cfRule>
    <cfRule type="cellIs" dxfId="5159" priority="93" operator="between">
      <formula>0.001</formula>
      <formula>0.01</formula>
    </cfRule>
    <cfRule type="cellIs" dxfId="5158" priority="94" operator="between">
      <formula>0</formula>
      <formula>0.001</formula>
    </cfRule>
    <cfRule type="cellIs" dxfId="5157" priority="95" operator="between">
      <formula>0.01</formula>
      <formula>0.1</formula>
    </cfRule>
  </conditionalFormatting>
  <conditionalFormatting sqref="H99 J99">
    <cfRule type="cellIs" dxfId="5156" priority="84" operator="greaterThanOrEqual">
      <formula>10</formula>
    </cfRule>
    <cfRule type="cellIs" dxfId="5155" priority="85" operator="between">
      <formula>1</formula>
      <formula>10</formula>
    </cfRule>
    <cfRule type="cellIs" dxfId="5154" priority="86" operator="between">
      <formula>0.1</formula>
      <formula>1</formula>
    </cfRule>
    <cfRule type="cellIs" dxfId="5153" priority="87" operator="between">
      <formula>0.001</formula>
      <formula>0.01</formula>
    </cfRule>
    <cfRule type="cellIs" dxfId="5152" priority="88" operator="between">
      <formula>0</formula>
      <formula>0.001</formula>
    </cfRule>
    <cfRule type="cellIs" dxfId="5151" priority="89" operator="between">
      <formula>0.01</formula>
      <formula>0.1</formula>
    </cfRule>
  </conditionalFormatting>
  <conditionalFormatting sqref="H100 J100">
    <cfRule type="cellIs" dxfId="5150" priority="78" operator="greaterThanOrEqual">
      <formula>10</formula>
    </cfRule>
    <cfRule type="cellIs" dxfId="5149" priority="79" operator="between">
      <formula>1</formula>
      <formula>10</formula>
    </cfRule>
    <cfRule type="cellIs" dxfId="5148" priority="80" operator="between">
      <formula>0.1</formula>
      <formula>1</formula>
    </cfRule>
    <cfRule type="cellIs" dxfId="5147" priority="81" operator="between">
      <formula>0.001</formula>
      <formula>0.01</formula>
    </cfRule>
    <cfRule type="cellIs" dxfId="5146" priority="82" operator="between">
      <formula>0</formula>
      <formula>0.001</formula>
    </cfRule>
    <cfRule type="cellIs" dxfId="5145" priority="83" operator="between">
      <formula>0.01</formula>
      <formula>0.1</formula>
    </cfRule>
  </conditionalFormatting>
  <conditionalFormatting sqref="H102 J102">
    <cfRule type="cellIs" dxfId="5144" priority="72" operator="greaterThanOrEqual">
      <formula>10</formula>
    </cfRule>
    <cfRule type="cellIs" dxfId="5143" priority="73" operator="between">
      <formula>1</formula>
      <formula>10</formula>
    </cfRule>
    <cfRule type="cellIs" dxfId="5142" priority="74" operator="between">
      <formula>0.1</formula>
      <formula>1</formula>
    </cfRule>
    <cfRule type="cellIs" dxfId="5141" priority="75" operator="between">
      <formula>0.001</formula>
      <formula>0.01</formula>
    </cfRule>
    <cfRule type="cellIs" dxfId="5140" priority="76" operator="between">
      <formula>0</formula>
      <formula>0.001</formula>
    </cfRule>
    <cfRule type="cellIs" dxfId="5139" priority="77" operator="between">
      <formula>0.01</formula>
      <formula>0.1</formula>
    </cfRule>
  </conditionalFormatting>
  <conditionalFormatting sqref="B70:K70">
    <cfRule type="expression" dxfId="5138" priority="71">
      <formula>$D$28="No"</formula>
    </cfRule>
  </conditionalFormatting>
  <conditionalFormatting sqref="B102:K102">
    <cfRule type="expression" dxfId="5137" priority="70">
      <formula>$D$28="No"</formula>
    </cfRule>
  </conditionalFormatting>
  <conditionalFormatting sqref="N103:N106 N71:N74 N87:N90 N56:N58 A49:C49 A53:C53 A50:M52 A48:L48 A2:M47 A86:M90 A57:L85 N70:P70 O59:P69 A54:M56 A102:M106 A91:L101 L91:P102 L75:P86 L59:M70 A107:P117">
    <cfRule type="expression" dxfId="5136" priority="69">
      <formula>i_FormVal="Granules, fine granules"</formula>
    </cfRule>
  </conditionalFormatting>
  <conditionalFormatting sqref="J53">
    <cfRule type="cellIs" dxfId="5135" priority="65" operator="between">
      <formula>0.001</formula>
      <formula>0.01</formula>
    </cfRule>
    <cfRule type="cellIs" dxfId="5134" priority="66" operator="between">
      <formula>0.1</formula>
      <formula>1</formula>
    </cfRule>
    <cfRule type="cellIs" dxfId="5133" priority="67" operator="greaterThanOrEqual">
      <formula>1</formula>
    </cfRule>
    <cfRule type="cellIs" dxfId="5132" priority="68" operator="between">
      <formula>0.01</formula>
      <formula>0.1</formula>
    </cfRule>
  </conditionalFormatting>
  <conditionalFormatting sqref="J53">
    <cfRule type="expression" dxfId="5131" priority="63">
      <formula>J53&lt;=1</formula>
    </cfRule>
    <cfRule type="expression" dxfId="5130" priority="64">
      <formula>J53&gt;1</formula>
    </cfRule>
  </conditionalFormatting>
  <conditionalFormatting sqref="D53:I53">
    <cfRule type="cellIs" dxfId="5129" priority="59" operator="between">
      <formula>0.001</formula>
      <formula>0.01</formula>
    </cfRule>
    <cfRule type="cellIs" dxfId="5128" priority="60" operator="between">
      <formula>0.1</formula>
      <formula>1</formula>
    </cfRule>
    <cfRule type="cellIs" dxfId="5127" priority="61" operator="greaterThanOrEqual">
      <formula>1</formula>
    </cfRule>
    <cfRule type="cellIs" dxfId="5126" priority="62" operator="between">
      <formula>0.01</formula>
      <formula>0.1</formula>
    </cfRule>
  </conditionalFormatting>
  <conditionalFormatting sqref="D53:I53">
    <cfRule type="expression" dxfId="5125" priority="57">
      <formula>D53&lt;=1</formula>
    </cfRule>
    <cfRule type="expression" dxfId="5124" priority="58">
      <formula>D53&gt;1</formula>
    </cfRule>
  </conditionalFormatting>
  <conditionalFormatting sqref="K53">
    <cfRule type="cellIs" dxfId="5123" priority="53" operator="between">
      <formula>0.001</formula>
      <formula>0.01</formula>
    </cfRule>
    <cfRule type="cellIs" dxfId="5122" priority="54" operator="between">
      <formula>0.1</formula>
      <formula>1</formula>
    </cfRule>
    <cfRule type="cellIs" dxfId="5121" priority="55" operator="greaterThanOrEqual">
      <formula>1</formula>
    </cfRule>
    <cfRule type="cellIs" dxfId="5120" priority="56" operator="between">
      <formula>0.01</formula>
      <formula>0.1</formula>
    </cfRule>
  </conditionalFormatting>
  <conditionalFormatting sqref="K53">
    <cfRule type="expression" dxfId="5119" priority="51">
      <formula>K53&lt;=1</formula>
    </cfRule>
    <cfRule type="expression" dxfId="5118" priority="52">
      <formula>K53&gt;1</formula>
    </cfRule>
  </conditionalFormatting>
  <conditionalFormatting sqref="J49">
    <cfRule type="cellIs" dxfId="5117" priority="47" operator="between">
      <formula>0.001</formula>
      <formula>0.01</formula>
    </cfRule>
    <cfRule type="cellIs" dxfId="5116" priority="48" operator="between">
      <formula>0.1</formula>
      <formula>1</formula>
    </cfRule>
    <cfRule type="cellIs" dxfId="5115" priority="49" operator="greaterThanOrEqual">
      <formula>1</formula>
    </cfRule>
    <cfRule type="cellIs" dxfId="5114" priority="50" operator="between">
      <formula>0.01</formula>
      <formula>0.1</formula>
    </cfRule>
  </conditionalFormatting>
  <conditionalFormatting sqref="J49">
    <cfRule type="expression" dxfId="5113" priority="45">
      <formula>J49&lt;=1</formula>
    </cfRule>
    <cfRule type="expression" dxfId="5112" priority="46">
      <formula>J49&gt;1</formula>
    </cfRule>
  </conditionalFormatting>
  <conditionalFormatting sqref="D49:I49">
    <cfRule type="cellIs" dxfId="5111" priority="41" operator="between">
      <formula>0.001</formula>
      <formula>0.01</formula>
    </cfRule>
    <cfRule type="cellIs" dxfId="5110" priority="42" operator="between">
      <formula>0.1</formula>
      <formula>1</formula>
    </cfRule>
    <cfRule type="cellIs" dxfId="5109" priority="43" operator="greaterThanOrEqual">
      <formula>1</formula>
    </cfRule>
    <cfRule type="cellIs" dxfId="5108" priority="44" operator="between">
      <formula>0.01</formula>
      <formula>0.1</formula>
    </cfRule>
  </conditionalFormatting>
  <conditionalFormatting sqref="D49:I49">
    <cfRule type="expression" dxfId="5107" priority="39">
      <formula>D49&lt;=1</formula>
    </cfRule>
    <cfRule type="expression" dxfId="5106" priority="40">
      <formula>D49&gt;1</formula>
    </cfRule>
  </conditionalFormatting>
  <conditionalFormatting sqref="K49">
    <cfRule type="cellIs" dxfId="5105" priority="35" operator="between">
      <formula>0.001</formula>
      <formula>0.01</formula>
    </cfRule>
    <cfRule type="cellIs" dxfId="5104" priority="36" operator="between">
      <formula>0.1</formula>
      <formula>1</formula>
    </cfRule>
    <cfRule type="cellIs" dxfId="5103" priority="37" operator="greaterThanOrEqual">
      <formula>1</formula>
    </cfRule>
    <cfRule type="cellIs" dxfId="5102" priority="38" operator="between">
      <formula>0.01</formula>
      <formula>0.1</formula>
    </cfRule>
  </conditionalFormatting>
  <conditionalFormatting sqref="K49">
    <cfRule type="expression" dxfId="5101" priority="33">
      <formula>K49&lt;=1</formula>
    </cfRule>
    <cfRule type="expression" dxfId="5100" priority="34">
      <formula>K49&gt;1</formula>
    </cfRule>
  </conditionalFormatting>
  <conditionalFormatting sqref="M49">
    <cfRule type="cellIs" dxfId="5099" priority="29" operator="between">
      <formula>0.001</formula>
      <formula>0.01</formula>
    </cfRule>
    <cfRule type="cellIs" dxfId="5098" priority="30" operator="between">
      <formula>0.1</formula>
      <formula>1</formula>
    </cfRule>
    <cfRule type="cellIs" dxfId="5097" priority="31" operator="greaterThanOrEqual">
      <formula>1</formula>
    </cfRule>
    <cfRule type="cellIs" dxfId="5096" priority="32" operator="between">
      <formula>0.01</formula>
      <formula>0.1</formula>
    </cfRule>
  </conditionalFormatting>
  <conditionalFormatting sqref="M49">
    <cfRule type="expression" dxfId="5095" priority="27">
      <formula>E49+G49+I49+K49&gt;1</formula>
    </cfRule>
    <cfRule type="expression" dxfId="5094" priority="28">
      <formula>E49+G49+I49+K49&lt;=1</formula>
    </cfRule>
  </conditionalFormatting>
  <conditionalFormatting sqref="L49">
    <cfRule type="cellIs" dxfId="5093" priority="23" operator="between">
      <formula>0.001</formula>
      <formula>0.01</formula>
    </cfRule>
    <cfRule type="cellIs" dxfId="5092" priority="24" operator="between">
      <formula>0.1</formula>
      <formula>1</formula>
    </cfRule>
    <cfRule type="cellIs" dxfId="5091" priority="25" operator="greaterThanOrEqual">
      <formula>1</formula>
    </cfRule>
    <cfRule type="cellIs" dxfId="5090" priority="26" operator="between">
      <formula>0.01</formula>
      <formula>0.1</formula>
    </cfRule>
  </conditionalFormatting>
  <conditionalFormatting sqref="L49">
    <cfRule type="expression" dxfId="5089" priority="21">
      <formula>D49+F49+H49+J49&lt;=1</formula>
    </cfRule>
    <cfRule type="expression" dxfId="5088" priority="22">
      <formula>D49+F49+H49+J49&gt;1</formula>
    </cfRule>
  </conditionalFormatting>
  <conditionalFormatting sqref="M53">
    <cfRule type="cellIs" dxfId="5087" priority="17" operator="between">
      <formula>0.001</formula>
      <formula>0.01</formula>
    </cfRule>
    <cfRule type="cellIs" dxfId="5086" priority="18" operator="between">
      <formula>0.1</formula>
      <formula>1</formula>
    </cfRule>
    <cfRule type="cellIs" dxfId="5085" priority="19" operator="greaterThanOrEqual">
      <formula>1</formula>
    </cfRule>
    <cfRule type="cellIs" dxfId="5084" priority="20" operator="between">
      <formula>0.01</formula>
      <formula>0.1</formula>
    </cfRule>
  </conditionalFormatting>
  <conditionalFormatting sqref="M53">
    <cfRule type="expression" dxfId="5083" priority="15">
      <formula>E53+G53+I53+K53&gt;1</formula>
    </cfRule>
    <cfRule type="expression" dxfId="5082" priority="16">
      <formula>E53+G53+I53+K53&lt;=1</formula>
    </cfRule>
  </conditionalFormatting>
  <conditionalFormatting sqref="L53">
    <cfRule type="cellIs" dxfId="5081" priority="11" operator="between">
      <formula>0.001</formula>
      <formula>0.01</formula>
    </cfRule>
    <cfRule type="cellIs" dxfId="5080" priority="12" operator="between">
      <formula>0.1</formula>
      <formula>1</formula>
    </cfRule>
    <cfRule type="cellIs" dxfId="5079" priority="13" operator="greaterThanOrEqual">
      <formula>1</formula>
    </cfRule>
    <cfRule type="cellIs" dxfId="5078" priority="14" operator="between">
      <formula>0.01</formula>
      <formula>0.1</formula>
    </cfRule>
  </conditionalFormatting>
  <conditionalFormatting sqref="L53">
    <cfRule type="expression" dxfId="5077" priority="9">
      <formula>D53+F53+H53+J53&lt;=1</formula>
    </cfRule>
    <cfRule type="expression" dxfId="5076" priority="10">
      <formula>D53+F53+H53+J53&gt;1</formula>
    </cfRule>
  </conditionalFormatting>
  <conditionalFormatting sqref="D49:K49 D53:K53">
    <cfRule type="cellIs" dxfId="5075" priority="8" operator="equal">
      <formula>0</formula>
    </cfRule>
  </conditionalFormatting>
  <conditionalFormatting sqref="E41">
    <cfRule type="expression" dxfId="5074" priority="6">
      <formula>AND(AppHeadResPPE="Hood and face shield",E41&lt;&gt;"none")</formula>
    </cfRule>
  </conditionalFormatting>
  <conditionalFormatting sqref="E27">
    <cfRule type="expression" dxfId="5073" priority="5">
      <formula>AND(Hole_D25="Face shield",E27&lt;&gt;"none")</formula>
    </cfRule>
  </conditionalFormatting>
  <conditionalFormatting sqref="M75:M85">
    <cfRule type="expression" dxfId="5072" priority="4">
      <formula>i_FormVal="Granules, fine granules"</formula>
    </cfRule>
  </conditionalFormatting>
  <conditionalFormatting sqref="M57">
    <cfRule type="expression" dxfId="5071" priority="3">
      <formula>i_FormVal="Granules, fine granules"</formula>
    </cfRule>
  </conditionalFormatting>
  <conditionalFormatting sqref="M91:M101">
    <cfRule type="expression" dxfId="5070" priority="2">
      <formula>i_FormVal="Granules, fine granules"</formula>
    </cfRule>
  </conditionalFormatting>
  <conditionalFormatting sqref="M107:M117">
    <cfRule type="expression" dxfId="5069" priority="1">
      <formula>i_FormVal="Granules, fine granules"</formula>
    </cfRule>
  </conditionalFormatting>
  <dataValidations count="7">
    <dataValidation type="list" allowBlank="1" showInputMessage="1" showErrorMessage="1" sqref="D25:E25 D28:E28 D39:E39" xr:uid="{00000000-0002-0000-0300-000000000000}">
      <formula1>YN</formula1>
      <formula2>0</formula2>
    </dataValidation>
    <dataValidation type="list" allowBlank="1" showInputMessage="1" showErrorMessage="1" sqref="D26:E26" xr:uid="{00000000-0002-0000-0300-000001000000}">
      <formula1>lk_PPEAOEM</formula1>
      <formula2>0</formula2>
    </dataValidation>
    <dataValidation type="list" allowBlank="1" showInputMessage="1" showErrorMessage="1" sqref="D42:E42" xr:uid="{00000000-0002-0000-0300-000004000000}">
      <formula1>INDIRECT(Cabin)</formula1>
    </dataValidation>
    <dataValidation type="list" allowBlank="1" showInputMessage="1" showErrorMessage="1" sqref="D40:E40" xr:uid="{FEAE1709-C475-4B29-B828-D18A4F0CE3CF}">
      <formula1>INDIRECT(List_PPE_appl)</formula1>
    </dataValidation>
    <dataValidation type="list" allowBlank="1" showInputMessage="1" showErrorMessage="1" sqref="E41" xr:uid="{2EB14EF8-E5DF-4254-8BFE-5D779AADAF07}">
      <formula1>IF(RIGHT(AppHeadResPPE,6)="shield",Nogloves,lk_MixRPE)</formula1>
    </dataValidation>
    <dataValidation type="list" allowBlank="1" showInputMessage="1" showErrorMessage="1" sqref="D27" xr:uid="{00000000-0002-0000-0300-000002000000}">
      <formula1>INDIRECT(list_ML)</formula1>
    </dataValidation>
    <dataValidation type="list" allowBlank="1" showInputMessage="1" showErrorMessage="1" sqref="E27" xr:uid="{C1FC946C-4176-4BED-B654-24620A41CF5F}">
      <formula1>IF(MLHeadResPPE="Hood &amp; faceshield",Nogloves,lk_MixRPE)</formula1>
    </dataValidation>
  </dataValidations>
  <pageMargins left="0.7" right="0.7" top="0.75" bottom="0.75" header="0.51180555555555496" footer="0.51180555555555496"/>
  <pageSetup paperSize="9" scale="93" firstPageNumber="0" orientation="landscape" horizontalDpi="300" verticalDpi="300" r:id="rId1"/>
  <headerFooter>
    <oddFooter>&amp;C&amp;1#&amp;"Arial"&amp;10&amp;K000000---Internal Use---</oddFooter>
  </headerFooter>
  <rowBreaks count="1" manualBreakCount="1">
    <brk id="51" max="16383" man="1"/>
  </rowBreaks>
  <ignoredErrors>
    <ignoredError sqref="B44:M48 E62 E63:E70 E78:E85 E94:E102 E111:E117 B50:M53 B49:K49 M49 F59:G66 F91:G98 F107:K117 F71:K74 F67:G67 F68:G70 F99:G102 F75:G85" formula="1"/>
    <ignoredError sqref="K67 I67 H68:K70 H59:K66 H75:K85 K99 I99 H100:K102 H91:K98" evalError="1" formula="1"/>
    <ignoredError sqref="H67 J67 H99 J99" evalError="1"/>
  </ignoredErrors>
  <drawing r:id="rId2"/>
  <legacyDrawing r:id="rId3"/>
  <mc:AlternateContent xmlns:mc="http://schemas.openxmlformats.org/markup-compatibility/2006">
    <mc:Choice Requires="x14">
      <controls>
        <mc:AlternateContent xmlns:mc="http://schemas.openxmlformats.org/markup-compatibility/2006">
          <mc:Choice Requires="x14">
            <control shapeId="303105" r:id="rId4" name="Button 1">
              <controlPr defaultSize="0" print="0" autoFill="0" autoPict="0" macro="[0]!Tabelle15.Default_PPE">
                <anchor moveWithCells="1" sizeWithCells="1">
                  <from>
                    <xdr:col>1</xdr:col>
                    <xdr:colOff>38100</xdr:colOff>
                    <xdr:row>12</xdr:row>
                    <xdr:rowOff>28575</xdr:rowOff>
                  </from>
                  <to>
                    <xdr:col>2</xdr:col>
                    <xdr:colOff>228600</xdr:colOff>
                    <xdr:row>12</xdr:row>
                    <xdr:rowOff>361950</xdr:rowOff>
                  </to>
                </anchor>
              </controlPr>
            </control>
          </mc:Choice>
        </mc:AlternateContent>
        <mc:AlternateContent xmlns:mc="http://schemas.openxmlformats.org/markup-compatibility/2006">
          <mc:Choice Requires="x14">
            <control shapeId="303112" r:id="rId5" name="Button 8">
              <controlPr defaultSize="0" print="0" autoFill="0" autoPict="0" macro="[0]!Tabelle15.ShowHide_Details">
                <anchor moveWithCells="1" sizeWithCells="1">
                  <from>
                    <xdr:col>2</xdr:col>
                    <xdr:colOff>295275</xdr:colOff>
                    <xdr:row>12</xdr:row>
                    <xdr:rowOff>28575</xdr:rowOff>
                  </from>
                  <to>
                    <xdr:col>3</xdr:col>
                    <xdr:colOff>485775</xdr:colOff>
                    <xdr:row>12</xdr:row>
                    <xdr:rowOff>361950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3A5DDAD7-65C5-4600-939A-6614F82A8923}">
          <x14:formula1>
            <xm:f>INDIRECT('Small Tables'!$E$16)</xm:f>
          </x14:formula1>
          <xm:sqref>D41</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0C55A7-37DB-4E85-B6BA-8502AAEFE423}">
  <sheetPr codeName="Tabelle24">
    <pageSetUpPr fitToPage="1"/>
  </sheetPr>
  <dimension ref="A1:O99"/>
  <sheetViews>
    <sheetView workbookViewId="0"/>
  </sheetViews>
  <sheetFormatPr defaultColWidth="9.140625" defaultRowHeight="15"/>
  <cols>
    <col min="1" max="1" width="4.42578125" customWidth="1"/>
    <col min="2" max="2" width="32.5703125" customWidth="1"/>
    <col min="3" max="6" width="17.7109375" customWidth="1"/>
    <col min="7" max="10" width="17.7109375" hidden="1" customWidth="1"/>
    <col min="11" max="11" width="17.7109375" customWidth="1"/>
    <col min="12" max="12" width="16.28515625" customWidth="1"/>
    <col min="13" max="14" width="18.7109375" customWidth="1"/>
    <col min="15" max="15" width="12.42578125" bestFit="1" customWidth="1"/>
    <col min="16" max="17" width="10.7109375" bestFit="1" customWidth="1"/>
  </cols>
  <sheetData>
    <row r="1" spans="1:12" ht="21.75" thickBot="1">
      <c r="B1" s="22" t="str">
        <f>"Operator exposure for "&amp;i_ProductName &amp; " granular applications"</f>
        <v>Operator exposure for  granular applications</v>
      </c>
      <c r="C1" s="102"/>
      <c r="D1" s="113"/>
      <c r="E1" s="412" t="str">
        <f>IF(i_FormVal = "Granules, fine granules","","This sheet is only for granular applications")</f>
        <v>This sheet is only for granular applications</v>
      </c>
      <c r="F1" s="110"/>
    </row>
    <row r="2" spans="1:12" ht="15" customHeight="1">
      <c r="A2" s="27"/>
      <c r="B2" s="652"/>
      <c r="C2" s="960">
        <f>i_SubstName1</f>
        <v>0</v>
      </c>
      <c r="D2" s="961"/>
      <c r="E2" s="960">
        <f>i_SubstName2</f>
        <v>0</v>
      </c>
      <c r="F2" s="961"/>
      <c r="G2" s="960">
        <f>i_SubstName3</f>
        <v>0</v>
      </c>
      <c r="H2" s="961"/>
      <c r="I2" s="960">
        <f>i_SubstName4</f>
        <v>0</v>
      </c>
      <c r="J2" s="961"/>
      <c r="K2" s="410"/>
      <c r="L2" s="411"/>
    </row>
    <row r="3" spans="1:12">
      <c r="A3" s="23"/>
      <c r="B3" s="227" t="s">
        <v>400</v>
      </c>
      <c r="C3" s="855">
        <f>i_AppRateAS1</f>
        <v>0</v>
      </c>
      <c r="D3" s="856"/>
      <c r="E3" s="855">
        <f>i_AppRateAS2</f>
        <v>0</v>
      </c>
      <c r="F3" s="856"/>
      <c r="G3" s="855">
        <f>i_AppRateAS3</f>
        <v>0</v>
      </c>
      <c r="H3" s="856"/>
      <c r="I3" s="855">
        <f>i_AppRateAS4</f>
        <v>0</v>
      </c>
      <c r="J3" s="856"/>
      <c r="K3" s="227" t="s">
        <v>347</v>
      </c>
      <c r="L3" s="408" t="s">
        <v>401</v>
      </c>
    </row>
    <row r="4" spans="1:12">
      <c r="A4" s="27"/>
      <c r="B4" s="227" t="s">
        <v>402</v>
      </c>
      <c r="C4" s="869">
        <f>C10*i_AppRateAS1</f>
        <v>0</v>
      </c>
      <c r="D4" s="870"/>
      <c r="E4" s="869">
        <f>C10*i_AppRateAS2</f>
        <v>0</v>
      </c>
      <c r="F4" s="870"/>
      <c r="G4" s="869">
        <f>C10*i_AppRateAS3</f>
        <v>0</v>
      </c>
      <c r="H4" s="870"/>
      <c r="I4" s="869">
        <f>C10*i_AppRateAS4</f>
        <v>0</v>
      </c>
      <c r="J4" s="870"/>
      <c r="K4" s="227" t="s">
        <v>403</v>
      </c>
      <c r="L4" s="408" t="s">
        <v>404</v>
      </c>
    </row>
    <row r="5" spans="1:12" ht="15.75" thickBot="1">
      <c r="A5" s="27"/>
      <c r="B5" s="227" t="s">
        <v>405</v>
      </c>
      <c r="C5" s="964">
        <f>i_AbsorpProduct1</f>
        <v>0</v>
      </c>
      <c r="D5" s="965"/>
      <c r="E5" s="964">
        <f>i_AbsorpProduct2</f>
        <v>0</v>
      </c>
      <c r="F5" s="965"/>
      <c r="G5" s="964">
        <f>i_AbsorpProduct3</f>
        <v>0</v>
      </c>
      <c r="H5" s="965"/>
      <c r="I5" s="964">
        <f>i_AbsorpProduct4</f>
        <v>0</v>
      </c>
      <c r="J5" s="965"/>
      <c r="K5" s="409"/>
      <c r="L5" s="290" t="s">
        <v>406</v>
      </c>
    </row>
    <row r="6" spans="1:12">
      <c r="A6" s="27"/>
      <c r="B6" s="413" t="s">
        <v>311</v>
      </c>
      <c r="C6" s="956">
        <f>i_FormVal</f>
        <v>0</v>
      </c>
      <c r="D6" s="957"/>
      <c r="E6" s="236"/>
      <c r="F6" s="266"/>
      <c r="G6" s="414"/>
      <c r="H6" s="266"/>
      <c r="I6" s="414"/>
      <c r="J6" s="415"/>
      <c r="K6" s="288"/>
      <c r="L6" s="290"/>
    </row>
    <row r="7" spans="1:12">
      <c r="A7" s="27"/>
      <c r="B7" s="413" t="s">
        <v>321</v>
      </c>
      <c r="C7" s="958">
        <f>'Data entry'!D8</f>
        <v>0</v>
      </c>
      <c r="D7" s="959"/>
      <c r="E7" s="291"/>
      <c r="F7" s="291"/>
      <c r="G7" s="291"/>
      <c r="H7" s="291"/>
      <c r="I7" s="291"/>
      <c r="J7" s="416"/>
      <c r="K7" s="291"/>
      <c r="L7" s="290"/>
    </row>
    <row r="8" spans="1:12">
      <c r="A8" s="27"/>
      <c r="B8" s="413" t="s">
        <v>331</v>
      </c>
      <c r="C8" s="958">
        <f>i_AppMeth</f>
        <v>0</v>
      </c>
      <c r="D8" s="959"/>
      <c r="E8" s="289"/>
      <c r="F8" s="289"/>
      <c r="G8" s="289"/>
      <c r="H8" s="289"/>
      <c r="I8" s="289"/>
      <c r="J8" s="417"/>
      <c r="K8" s="289"/>
      <c r="L8" s="290"/>
    </row>
    <row r="9" spans="1:12">
      <c r="A9" s="27"/>
      <c r="B9" s="413" t="s">
        <v>332</v>
      </c>
      <c r="C9" s="958">
        <f>i_AppEquip</f>
        <v>0</v>
      </c>
      <c r="D9" s="959"/>
      <c r="E9" s="289"/>
      <c r="F9" s="289"/>
      <c r="G9" s="289"/>
      <c r="H9" s="289"/>
      <c r="I9" s="289"/>
      <c r="J9" s="417"/>
      <c r="K9" s="289"/>
      <c r="L9" s="290"/>
    </row>
    <row r="10" spans="1:12">
      <c r="A10" s="27"/>
      <c r="B10" s="413" t="s">
        <v>408</v>
      </c>
      <c r="C10" s="958">
        <f>d_AreaTreated</f>
        <v>1</v>
      </c>
      <c r="D10" s="959"/>
      <c r="E10" s="235"/>
      <c r="F10" s="235"/>
      <c r="G10" s="235"/>
      <c r="H10" s="235"/>
      <c r="I10" s="235"/>
      <c r="J10" s="418"/>
      <c r="K10" s="676" t="s">
        <v>409</v>
      </c>
      <c r="L10" s="408" t="s">
        <v>410</v>
      </c>
    </row>
    <row r="11" spans="1:12" ht="35.25" customHeight="1" thickBot="1">
      <c r="A11" s="27"/>
      <c r="B11" s="966"/>
      <c r="C11" s="966"/>
      <c r="D11" s="372"/>
      <c r="E11" s="679"/>
      <c r="F11" s="679"/>
      <c r="G11" s="679"/>
      <c r="H11" s="679"/>
      <c r="I11" s="679"/>
      <c r="J11" s="679"/>
      <c r="K11" s="25"/>
      <c r="L11" s="26"/>
    </row>
    <row r="12" spans="1:12" ht="15" customHeight="1" thickBot="1">
      <c r="A12" s="872" t="s">
        <v>463</v>
      </c>
      <c r="B12" s="952" t="s">
        <v>413</v>
      </c>
      <c r="C12" s="939" t="s">
        <v>464</v>
      </c>
      <c r="D12" s="940"/>
      <c r="K12" s="877" t="s">
        <v>415</v>
      </c>
      <c r="L12" s="863" t="s">
        <v>416</v>
      </c>
    </row>
    <row r="13" spans="1:12" ht="18" thickBot="1">
      <c r="A13" s="872"/>
      <c r="B13" s="952"/>
      <c r="C13" s="33" t="s">
        <v>465</v>
      </c>
      <c r="D13" s="147" t="s">
        <v>466</v>
      </c>
      <c r="K13" s="877"/>
      <c r="L13" s="863"/>
    </row>
    <row r="14" spans="1:12" ht="39" customHeight="1" thickBot="1">
      <c r="A14" s="872"/>
      <c r="B14" s="34" t="s">
        <v>418</v>
      </c>
      <c r="C14" s="182" t="e">
        <f>INDEX(ay_OpExpVal,MATCH(i_IndoorOutdoor&amp;i_FormVal&amp;i_AppMeth&amp;i_AppEquip&amp;"Hands",key_OpExpMixL,0),7)</f>
        <v>#N/A</v>
      </c>
      <c r="D14" s="149" t="e">
        <f>INDEX(ay_OpExpVal,MATCH(i_IndoorOutdoor&amp;i_FormVal&amp;i_AppMeth&amp;i_AppEquip&amp;"Hands",key_OpExpMixL,0),8)</f>
        <v>#N/A</v>
      </c>
      <c r="K14" s="180" t="e">
        <f>IF(INDEX(ay_OpExpVal,MATCH(i_IndoorOutdoor&amp;C6&amp;i_AppMeth&amp;i_AppEquip&amp;"hands",key_OpExpMixL,0),10)=0,"",INDEX(ay_OpExpVal,MATCH(i_IndoorOutdoor&amp;C6&amp;i_AppMeth&amp;i_AppEquip&amp;"Hands",key_OpExpMixL,0),10))</f>
        <v>#N/A</v>
      </c>
      <c r="L14" s="35" t="e">
        <f>IF(INDEX(ay_OpExpVal,MATCH(i_IndoorOutdoor&amp;i_FormVal&amp;i_AppMeth&amp;i_AppEquip&amp;"Hands",key_OpExpMixL,0),9)=0,"",INDEX(ay_OpExpVal,MATCH(i_IndoorOutdoor&amp;i_FormVal&amp;i_AppMeth&amp;i_AppEquip&amp;"Hands",key_OpExpMixL,0),9))</f>
        <v>#N/A</v>
      </c>
    </row>
    <row r="15" spans="1:12" ht="45.75" customHeight="1" thickBot="1">
      <c r="A15" s="872"/>
      <c r="B15" s="34" t="s">
        <v>420</v>
      </c>
      <c r="C15" s="301" t="e">
        <f>INDEX(ay_OpExpVal,MATCH(i_IndoorOutdoor&amp;i_FormVal&amp;i_AppMeth&amp;i_AppEquip&amp;"Body",key_OpExpMixL,0),7)</f>
        <v>#N/A</v>
      </c>
      <c r="D15" s="300" t="e">
        <f>INDEX(ay_OpExpVal,MATCH(i_IndoorOutdoor&amp;i_FormVal&amp;i_AppMeth&amp;i_AppEquip&amp;"Body",key_OpExpMixL,0),8)</f>
        <v>#N/A</v>
      </c>
      <c r="K15" s="180" t="e">
        <f>IF(INDEX(ay_OpExpVal,MATCH(i_IndoorOutdoor&amp;i_FormVal&amp;i_AppMeth&amp;i_AppEquip&amp;"Body",key_OpExpMixL,0),10)=0,"",INDEX(ay_OpExpVal,MATCH(i_IndoorOutdoor&amp;i_FormVal&amp;i_AppMeth&amp;i_AppEquip&amp;"Body",key_OpExpMixL,0),10))</f>
        <v>#N/A</v>
      </c>
      <c r="L15" s="35" t="e">
        <f>IF(INDEX(ay_OpExpVal,MATCH(i_IndoorOutdoor&amp;i_FormVal&amp;i_AppMeth&amp;i_AppEquip&amp;"Body",key_OpExpMixL,0),9)=0,"",INDEX(ay_OpExpVal,MATCH(i_IndoorOutdoor&amp;i_FormVal&amp;i_AppMeth&amp;i_AppEquip&amp;"Body",key_OpExpMixL,0),9))</f>
        <v>#N/A</v>
      </c>
    </row>
    <row r="16" spans="1:12" ht="15.75" thickBot="1">
      <c r="A16" s="872"/>
      <c r="B16" s="38" t="s">
        <v>109</v>
      </c>
      <c r="C16" s="302" t="e">
        <f>INDEX(ay_OpExpVal,MATCH(i_IndoorOutdoor&amp;i_FormVal&amp;i_AppMeth&amp;i_AppEquip&amp;"Inhalation",key_OpExpMixL,0),7)</f>
        <v>#N/A</v>
      </c>
      <c r="D16" s="300" t="e">
        <f>INDEX(ay_OpExpVal,MATCH(i_IndoorOutdoor&amp;i_FormVal&amp;i_AppMeth&amp;i_AppEquip&amp;"Inhalation",key_OpExpMixL,0),8)</f>
        <v>#N/A</v>
      </c>
      <c r="K16" s="181" t="e">
        <f>IF(INDEX(ay_OpExpVal,MATCH(i_IndoorOutdoor&amp;C6&amp;i_AppMeth&amp;i_AppEquip&amp;"inhalation",key_OpExpMixL,0),10)=0,"",INDEX(ay_OpExpVal,MATCH(i_IndoorOutdoor&amp;C6&amp;i_AppMeth&amp;i_AppEquip&amp;"Inhalation",key_OpExpMixL,0),10))</f>
        <v>#N/A</v>
      </c>
      <c r="L16" s="646" t="e">
        <f>IF(INDEX(ay_OpExpVal,MATCH(i_IndoorOutdoor&amp;i_FormVal&amp;i_AppMeth&amp;i_AppEquip&amp;"Inhalation",key_OpExpMixL,0),9)=0,"",INDEX(ay_OpExpVal,MATCH(i_IndoorOutdoor&amp;i_FormVal&amp;i_AppMeth&amp;i_AppEquip&amp;"Inhalation",key_OpExpMixL,0),9))</f>
        <v>#N/A</v>
      </c>
    </row>
    <row r="17" spans="1:12" ht="15" customHeight="1" thickBot="1">
      <c r="A17" s="872"/>
      <c r="B17" s="649" t="s">
        <v>424</v>
      </c>
      <c r="C17" s="945" t="s">
        <v>467</v>
      </c>
      <c r="D17" s="946"/>
      <c r="K17" s="165" t="s">
        <v>426</v>
      </c>
      <c r="L17" s="60"/>
    </row>
    <row r="18" spans="1:12" ht="15.75" customHeight="1" thickBot="1">
      <c r="A18" s="872"/>
      <c r="B18" s="34" t="s">
        <v>428</v>
      </c>
      <c r="C18" s="947" t="s">
        <v>458</v>
      </c>
      <c r="D18" s="948"/>
      <c r="K18" s="941" t="str">
        <f>"Protection for granules exposure is based on measured values"</f>
        <v>Protection for granules exposure is based on measured values</v>
      </c>
      <c r="L18" s="942"/>
    </row>
    <row r="19" spans="1:12" ht="17.25" customHeight="1" thickBot="1">
      <c r="A19" s="872"/>
      <c r="B19" s="34" t="s">
        <v>468</v>
      </c>
      <c r="C19" s="947" t="s">
        <v>372</v>
      </c>
      <c r="D19" s="948"/>
      <c r="K19" s="943"/>
      <c r="L19" s="944"/>
    </row>
    <row r="20" spans="1:12" ht="15.75" thickBot="1">
      <c r="A20" s="872"/>
      <c r="B20" s="38" t="s">
        <v>469</v>
      </c>
      <c r="C20" s="953" t="s">
        <v>458</v>
      </c>
      <c r="D20" s="954"/>
      <c r="K20" s="166">
        <f>INDEX(ay_MixRPE,MATCH(C20,key_MixRPE,0),2)</f>
        <v>1</v>
      </c>
      <c r="L20" s="42"/>
    </row>
    <row r="21" spans="1:12" ht="15" customHeight="1" thickBot="1">
      <c r="A21" s="871" t="s">
        <v>366</v>
      </c>
      <c r="B21" s="952" t="s">
        <v>413</v>
      </c>
      <c r="C21" s="949" t="s">
        <v>458</v>
      </c>
      <c r="D21" s="950"/>
      <c r="K21" s="877" t="s">
        <v>415</v>
      </c>
      <c r="L21" s="863" t="s">
        <v>416</v>
      </c>
    </row>
    <row r="22" spans="1:12" ht="32.25" customHeight="1" thickBot="1">
      <c r="A22" s="871"/>
      <c r="B22" s="880"/>
      <c r="C22" s="33" t="s">
        <v>465</v>
      </c>
      <c r="D22" s="147" t="s">
        <v>466</v>
      </c>
      <c r="K22" s="877"/>
      <c r="L22" s="863"/>
    </row>
    <row r="23" spans="1:12" ht="46.5" customHeight="1" thickBot="1">
      <c r="A23" s="871"/>
      <c r="B23" s="138" t="s">
        <v>418</v>
      </c>
      <c r="C23" s="182" t="e">
        <f>INDEX(ay_OpExpVal,MATCH(i_IndoorOutdoor&amp;i_FormVal&amp;i_AppMeth&amp;i_AppEquip&amp;"Hands",key_OpExpMixL,0),11)</f>
        <v>#N/A</v>
      </c>
      <c r="D23" s="149" t="e" cm="1">
        <f t="array" ref="D23">INDEX(ay_OpExpVal,MATCH(i_IndoorOutdoor&amp;i_FormVal&amp;i_AppMeth&amp;i_AppEquip&amp;"Hands",key_OpExpMixL,0),12)</f>
        <v>#N/A</v>
      </c>
      <c r="K23" s="180" t="e">
        <f>IF(INDEX(ay_OpExpVal,MATCH(i_IndoorOutdoor&amp;C6&amp;i_AppMeth&amp;i_AppEquip&amp;"hands",key_OpExpMixL,0),14)=0,"",INDEX(ay_OpExpVal,MATCH(i_IndoorOutdoor&amp;C6&amp;i_AppMeth&amp;i_AppEquip&amp;"Hands",key_OpExpMixL,0),14))</f>
        <v>#N/A</v>
      </c>
      <c r="L23" s="35" t="e">
        <f>IF(INDEX(ay_OpExpVal,MATCH(i_IndoorOutdoor&amp;i_FormVal&amp;i_AppMeth&amp;i_AppEquip&amp;"Hands",key_OpExpMixL,0),13)=0,"",INDEX(ay_OpExpVal,MATCH(i_IndoorOutdoor&amp;i_FormVal&amp;i_AppMeth&amp;i_AppEquip&amp;"Hands",key_OpExpMixL,0),13))</f>
        <v>#N/A</v>
      </c>
    </row>
    <row r="24" spans="1:12" ht="48.75" customHeight="1" thickBot="1">
      <c r="A24" s="871"/>
      <c r="B24" s="138" t="s">
        <v>420</v>
      </c>
      <c r="C24" s="182" t="e">
        <f>INDEX(ay_OpExpVal,MATCH(i_IndoorOutdoor&amp;i_FormVal&amp;i_AppMeth&amp;i_AppEquip&amp;"Body",key_OpExpMixL,0),11)</f>
        <v>#N/A</v>
      </c>
      <c r="D24" s="149" t="e">
        <f>INDEX(ay_OpExpVal,MATCH(i_IndoorOutdoor&amp;i_FormVal&amp;i_AppMeth&amp;i_AppEquip&amp;"Body",key_OpExpMixL,0),12)</f>
        <v>#N/A</v>
      </c>
      <c r="K24" s="180" t="e">
        <f>IF(INDEX(ay_OpExpVal,MATCH(i_IndoorOutdoor&amp;C6&amp;i_AppMeth&amp;i_AppEquip&amp;"Body",key_OpExpMixL,0),14)=0,"",INDEX(ay_OpExpVal,MATCH(i_IndoorOutdoor&amp;C6&amp;i_AppMeth&amp;i_AppEquip&amp;"Body",key_OpExpMixL,0),14))</f>
        <v>#N/A</v>
      </c>
      <c r="L24" s="35" t="e">
        <f>IF(INDEX(ay_OpExpVal,MATCH(i_IndoorOutdoor&amp;i_FormVal&amp;i_AppMeth&amp;i_AppEquip&amp;"Body",key_OpExpMixL,0),13)=0,"",INDEX(ay_OpExpVal,MATCH(i_IndoorOutdoor&amp;i_FormVal&amp;i_AppMeth&amp;i_AppEquip&amp;"Body",key_OpExpMixL,0),13))</f>
        <v>#N/A</v>
      </c>
    </row>
    <row r="25" spans="1:12" ht="24" customHeight="1" thickBot="1">
      <c r="A25" s="871"/>
      <c r="B25" s="139" t="s">
        <v>109</v>
      </c>
      <c r="C25" s="303" t="e">
        <f>INDEX(ay_OpExpVal,MATCH(i_IndoorOutdoor&amp;i_FormVal&amp;i_AppMeth&amp;i_AppEquip&amp;"Inhalation",key_OpExpMixL,0),11)</f>
        <v>#N/A</v>
      </c>
      <c r="D25" s="304" t="e">
        <f>INDEX(ay_OpExpVal,MATCH(i_IndoorOutdoor&amp;i_FormVal&amp;i_AppMeth&amp;i_AppEquip&amp;"Inhalation",key_OpExpMixL,0),12)</f>
        <v>#N/A</v>
      </c>
      <c r="K25" s="181" t="e">
        <f>IF(INDEX(ay_OpExpVal,MATCH(i_IndoorOutdoor&amp;C6&amp;i_AppMeth&amp;i_AppEquip&amp;"inhalation",key_OpExpMixL,0),14)=0,"",INDEX(ay_OpExpVal,MATCH(i_IndoorOutdoor&amp;C6&amp;i_AppMeth&amp;i_AppEquip&amp;"Inhalation",key_OpExpMixL,0),14))</f>
        <v>#N/A</v>
      </c>
      <c r="L25" s="646" t="e">
        <f>IF(INDEX(ay_OpExpVal,MATCH(i_IndoorOutdoor&amp;i_FormVal&amp;i_AppMeth&amp;i_AppEquip&amp;"Inhalation",key_OpExpMixL,0),13)=0,"",INDEX(ay_OpExpVal,MATCH(i_IndoorOutdoor&amp;i_FormVal&amp;i_AppMeth&amp;i_AppEquip&amp;"Inhalation",key_OpExpMixL,0),13))</f>
        <v>#N/A</v>
      </c>
    </row>
    <row r="26" spans="1:12" ht="20.25" customHeight="1" thickBot="1">
      <c r="A26" s="871"/>
      <c r="B26" s="649" t="s">
        <v>424</v>
      </c>
      <c r="C26" s="945" t="s">
        <v>467</v>
      </c>
      <c r="D26" s="946"/>
      <c r="K26" s="165" t="s">
        <v>426</v>
      </c>
      <c r="L26" s="60"/>
    </row>
    <row r="27" spans="1:12" ht="15" customHeight="1" thickBot="1">
      <c r="A27" s="871"/>
      <c r="B27" s="34" t="s">
        <v>428</v>
      </c>
      <c r="C27" s="947" t="s">
        <v>470</v>
      </c>
      <c r="D27" s="951"/>
      <c r="K27" s="941" t="str">
        <f>"Protection for granules exposure is based on measured values"</f>
        <v>Protection for granules exposure is based on measured values</v>
      </c>
      <c r="L27" s="942"/>
    </row>
    <row r="28" spans="1:12" ht="15.75" thickBot="1">
      <c r="A28" s="871"/>
      <c r="B28" s="34" t="s">
        <v>468</v>
      </c>
      <c r="C28" s="947" t="s">
        <v>471</v>
      </c>
      <c r="D28" s="951"/>
      <c r="K28" s="943"/>
      <c r="L28" s="944"/>
    </row>
    <row r="29" spans="1:12" ht="15.75" thickBot="1">
      <c r="A29" s="872"/>
      <c r="B29" s="38" t="s">
        <v>469</v>
      </c>
      <c r="C29" s="953" t="s">
        <v>472</v>
      </c>
      <c r="D29" s="967"/>
      <c r="K29" s="166">
        <f>INDEX(ay_MixRPE,MATCH(C29,key_MixRPE,0),2)</f>
        <v>0.1</v>
      </c>
      <c r="L29" s="42"/>
    </row>
    <row r="30" spans="1:12" ht="15.75" thickBot="1">
      <c r="B30" s="593"/>
      <c r="E30" s="21"/>
      <c r="F30" s="21"/>
      <c r="G30" s="21"/>
    </row>
    <row r="31" spans="1:12" ht="19.5" thickBot="1">
      <c r="B31" s="44" t="s">
        <v>436</v>
      </c>
      <c r="C31" s="937">
        <f>i_SubstName1</f>
        <v>0</v>
      </c>
      <c r="D31" s="938"/>
      <c r="E31" s="937">
        <f>i_SubstName2</f>
        <v>0</v>
      </c>
      <c r="F31" s="938"/>
      <c r="G31" s="937">
        <f>i_SubstName3</f>
        <v>0</v>
      </c>
      <c r="H31" s="938"/>
      <c r="I31" s="937">
        <f>i_SubstName4</f>
        <v>0</v>
      </c>
      <c r="J31" s="938"/>
      <c r="K31" s="937" t="s">
        <v>370</v>
      </c>
      <c r="L31" s="938"/>
    </row>
    <row r="32" spans="1:12">
      <c r="B32" s="663"/>
      <c r="C32" s="656" t="s">
        <v>437</v>
      </c>
      <c r="D32" s="653" t="s">
        <v>438</v>
      </c>
      <c r="E32" s="656" t="s">
        <v>437</v>
      </c>
      <c r="F32" s="653" t="s">
        <v>438</v>
      </c>
      <c r="G32" s="656" t="s">
        <v>437</v>
      </c>
      <c r="H32" s="653" t="s">
        <v>438</v>
      </c>
      <c r="I32" s="656" t="s">
        <v>437</v>
      </c>
      <c r="J32" s="642" t="s">
        <v>438</v>
      </c>
      <c r="K32" s="656" t="s">
        <v>437</v>
      </c>
      <c r="L32" s="653" t="s">
        <v>438</v>
      </c>
    </row>
    <row r="33" spans="2:15" ht="15.75" customHeight="1">
      <c r="B33" s="184"/>
      <c r="C33" s="187"/>
      <c r="D33" s="133"/>
      <c r="E33" s="187"/>
      <c r="F33" s="133"/>
      <c r="G33" s="187"/>
      <c r="H33" s="133"/>
      <c r="I33" s="187"/>
      <c r="J33" s="52"/>
      <c r="K33" s="187"/>
      <c r="L33" s="185"/>
    </row>
    <row r="34" spans="2:15" ht="33.75" customHeight="1">
      <c r="B34" s="219" t="s">
        <v>473</v>
      </c>
      <c r="C34" s="219"/>
      <c r="D34" s="220"/>
      <c r="E34" s="220"/>
      <c r="F34" s="220"/>
      <c r="G34" s="220"/>
      <c r="H34" s="220"/>
      <c r="I34" s="220"/>
      <c r="J34" s="220"/>
      <c r="K34" s="305"/>
      <c r="L34" s="306"/>
    </row>
    <row r="35" spans="2:15" ht="33" customHeight="1">
      <c r="B35" s="189" t="s">
        <v>460</v>
      </c>
      <c r="C35" s="668" t="e">
        <f>C51+C65</f>
        <v>#N/A</v>
      </c>
      <c r="D35" s="669" t="e">
        <f>C56+C70</f>
        <v>#N/A</v>
      </c>
      <c r="E35" s="668" t="e">
        <f>E51+E65</f>
        <v>#N/A</v>
      </c>
      <c r="F35" s="669" t="e">
        <f>E56+E70</f>
        <v>#N/A</v>
      </c>
      <c r="G35" s="668" t="e">
        <f>G51+G65</f>
        <v>#N/A</v>
      </c>
      <c r="H35" s="669" t="e">
        <f>G56+G70</f>
        <v>#N/A</v>
      </c>
      <c r="I35" s="668" t="e">
        <f>I51+I65</f>
        <v>#N/A</v>
      </c>
      <c r="J35" s="669" t="e">
        <f>I56+I70</f>
        <v>#N/A</v>
      </c>
      <c r="K35" s="429"/>
      <c r="L35" s="430"/>
    </row>
    <row r="36" spans="2:15" ht="32.25" customHeight="1">
      <c r="B36" s="189" t="s">
        <v>461</v>
      </c>
      <c r="C36" s="668" t="e">
        <f t="shared" ref="C36:J36" si="0">C35/d_BwAdult</f>
        <v>#N/A</v>
      </c>
      <c r="D36" s="669" t="e">
        <f t="shared" si="0"/>
        <v>#N/A</v>
      </c>
      <c r="E36" s="668" t="e">
        <f t="shared" si="0"/>
        <v>#N/A</v>
      </c>
      <c r="F36" s="669" t="e">
        <f t="shared" si="0"/>
        <v>#N/A</v>
      </c>
      <c r="G36" s="253" t="e">
        <f t="shared" si="0"/>
        <v>#N/A</v>
      </c>
      <c r="H36" s="254" t="e">
        <f t="shared" si="0"/>
        <v>#N/A</v>
      </c>
      <c r="I36" s="253" t="e">
        <f t="shared" si="0"/>
        <v>#N/A</v>
      </c>
      <c r="J36" s="254" t="e">
        <f t="shared" si="0"/>
        <v>#N/A</v>
      </c>
      <c r="K36" s="962" t="s">
        <v>462</v>
      </c>
      <c r="L36" s="963"/>
    </row>
    <row r="37" spans="2:15" ht="30" customHeight="1">
      <c r="B37" s="184" t="s">
        <v>442</v>
      </c>
      <c r="C37" s="375">
        <f>IFERROR(C36/i_AOEL1,0)</f>
        <v>0</v>
      </c>
      <c r="D37" s="376">
        <f>IFERROR(D36/i_AOEL1,0)</f>
        <v>0</v>
      </c>
      <c r="E37" s="375">
        <f>IFERROR(E36/i_AOEL2,0)</f>
        <v>0</v>
      </c>
      <c r="F37" s="376">
        <f>IFERROR(F36/i_AOEL2,0)</f>
        <v>0</v>
      </c>
      <c r="G37" s="375">
        <f>IFERROR(G36/i_AOEL3,0)</f>
        <v>0</v>
      </c>
      <c r="H37" s="376">
        <f>IFERROR(H36/i_AOEL3,0)</f>
        <v>0</v>
      </c>
      <c r="I37" s="375">
        <f>IFERROR(I36/i_AOEL4,0)</f>
        <v>0</v>
      </c>
      <c r="J37" s="376">
        <f>IFERROR(J36/i_AOEL4,0)</f>
        <v>0</v>
      </c>
      <c r="K37" s="375" t="str">
        <f>FIXED(C37+E37+G37+I37,3)</f>
        <v>0.000</v>
      </c>
      <c r="L37" s="376" t="str">
        <f>FIXED(D37+F37+H37+J37,3)</f>
        <v>0.000</v>
      </c>
    </row>
    <row r="38" spans="2:15" ht="34.5" customHeight="1">
      <c r="B38" s="150" t="s">
        <v>443</v>
      </c>
      <c r="C38" s="150"/>
      <c r="D38" s="221"/>
      <c r="E38" s="221"/>
      <c r="F38" s="221"/>
      <c r="G38" s="221"/>
      <c r="H38" s="221"/>
      <c r="I38" s="221"/>
      <c r="J38" s="221"/>
      <c r="K38" s="674"/>
      <c r="L38" s="664"/>
    </row>
    <row r="39" spans="2:15" ht="36.75" customHeight="1">
      <c r="B39" s="189" t="s">
        <v>460</v>
      </c>
      <c r="C39" s="668" t="e">
        <f>C80+C94</f>
        <v>#N/A</v>
      </c>
      <c r="D39" s="669" t="e">
        <f>C85+C99</f>
        <v>#N/A</v>
      </c>
      <c r="E39" s="668" t="e">
        <f>E80+E94</f>
        <v>#N/A</v>
      </c>
      <c r="F39" s="669" t="e">
        <f>E85+E99</f>
        <v>#N/A</v>
      </c>
      <c r="G39" s="668" t="e">
        <f>G80+G94</f>
        <v>#N/A</v>
      </c>
      <c r="H39" s="669" t="e">
        <f>G85+G99</f>
        <v>#N/A</v>
      </c>
      <c r="I39" s="668" t="e">
        <f>I80+I94</f>
        <v>#N/A</v>
      </c>
      <c r="J39" s="669" t="e">
        <f>I85+I99</f>
        <v>#N/A</v>
      </c>
      <c r="K39" s="307"/>
      <c r="L39" s="308"/>
    </row>
    <row r="40" spans="2:15" ht="36" customHeight="1">
      <c r="B40" s="189" t="s">
        <v>461</v>
      </c>
      <c r="C40" s="668" t="e">
        <f t="shared" ref="C40:J40" si="1">C39/d_BwAdult</f>
        <v>#N/A</v>
      </c>
      <c r="D40" s="669" t="e">
        <f t="shared" si="1"/>
        <v>#N/A</v>
      </c>
      <c r="E40" s="668" t="e">
        <f t="shared" si="1"/>
        <v>#N/A</v>
      </c>
      <c r="F40" s="669" t="e">
        <f t="shared" si="1"/>
        <v>#N/A</v>
      </c>
      <c r="G40" s="253" t="e">
        <f t="shared" si="1"/>
        <v>#N/A</v>
      </c>
      <c r="H40" s="254" t="e">
        <f t="shared" si="1"/>
        <v>#N/A</v>
      </c>
      <c r="I40" s="253" t="e">
        <f t="shared" si="1"/>
        <v>#N/A</v>
      </c>
      <c r="J40" s="254" t="e">
        <f t="shared" si="1"/>
        <v>#N/A</v>
      </c>
      <c r="K40" s="962" t="s">
        <v>462</v>
      </c>
      <c r="L40" s="963"/>
    </row>
    <row r="41" spans="2:15" ht="29.25" customHeight="1" thickBot="1">
      <c r="B41" s="48" t="s">
        <v>444</v>
      </c>
      <c r="C41" s="373">
        <f>IFERROR(C40/i_AAOEL1,0)</f>
        <v>0</v>
      </c>
      <c r="D41" s="374">
        <f>IFERROR(D40/i_AAOEL1,0)</f>
        <v>0</v>
      </c>
      <c r="E41" s="373">
        <f>IFERROR(E40/i_AAOEL2,0)</f>
        <v>0</v>
      </c>
      <c r="F41" s="374">
        <f>IFERROR(F40/i_AAOEL2,0)</f>
        <v>0</v>
      </c>
      <c r="G41" s="373">
        <f>IFERROR(G40/i_AAOEL3,0)</f>
        <v>0</v>
      </c>
      <c r="H41" s="374">
        <f>IFERROR(H40/i_AAOEL3,0)</f>
        <v>0</v>
      </c>
      <c r="I41" s="373">
        <f>IFERROR(I40/i_AAOEL4,0)</f>
        <v>0</v>
      </c>
      <c r="J41" s="374">
        <f>IFERROR(J40/i_AAOEL4,0)</f>
        <v>0</v>
      </c>
      <c r="K41" s="373" t="str">
        <f>FIXED(C41+E41+G41+I41,3)</f>
        <v>0.000</v>
      </c>
      <c r="L41" s="374" t="str">
        <f>FIXED(D41+F41+H41+J41,3)</f>
        <v>0.000</v>
      </c>
    </row>
    <row r="42" spans="2:15">
      <c r="E42" s="955"/>
      <c r="F42" s="955"/>
      <c r="G42" s="650"/>
      <c r="H42" s="50"/>
    </row>
    <row r="43" spans="2:15" ht="45.75" customHeight="1" thickBot="1">
      <c r="B43" s="51" t="s">
        <v>474</v>
      </c>
      <c r="E43" s="1184"/>
      <c r="F43" s="1184"/>
    </row>
    <row r="44" spans="2:15" ht="19.5" thickBot="1">
      <c r="B44" s="51" t="s">
        <v>446</v>
      </c>
      <c r="C44" s="937">
        <f>i_SubstName1</f>
        <v>0</v>
      </c>
      <c r="D44" s="938"/>
      <c r="E44" s="937">
        <f>i_SubstName2</f>
        <v>0</v>
      </c>
      <c r="F44" s="938"/>
      <c r="G44" s="937">
        <f>i_SubstName3</f>
        <v>0</v>
      </c>
      <c r="H44" s="938"/>
      <c r="I44" s="937">
        <f>i_SubstName4</f>
        <v>0</v>
      </c>
      <c r="J44" s="938"/>
    </row>
    <row r="45" spans="2:15" ht="30" customHeight="1">
      <c r="B45" s="663"/>
      <c r="C45" s="656" t="s">
        <v>447</v>
      </c>
      <c r="D45" s="653" t="s">
        <v>448</v>
      </c>
      <c r="E45" s="656" t="s">
        <v>447</v>
      </c>
      <c r="F45" s="653" t="s">
        <v>448</v>
      </c>
      <c r="G45" s="656" t="s">
        <v>447</v>
      </c>
      <c r="H45" s="653" t="s">
        <v>448</v>
      </c>
      <c r="I45" s="656" t="s">
        <v>447</v>
      </c>
      <c r="J45" s="653" t="s">
        <v>448</v>
      </c>
    </row>
    <row r="46" spans="2:15" ht="15" customHeight="1">
      <c r="B46" s="184"/>
      <c r="C46" s="193"/>
      <c r="D46" s="45"/>
      <c r="E46" s="193"/>
      <c r="F46" s="45"/>
      <c r="G46" s="193"/>
      <c r="H46" s="45"/>
      <c r="I46" s="193"/>
      <c r="J46" s="45"/>
    </row>
    <row r="47" spans="2:15" ht="15" customHeight="1">
      <c r="B47" s="46" t="s">
        <v>437</v>
      </c>
      <c r="C47" s="46"/>
      <c r="D47" s="154"/>
      <c r="E47" s="46"/>
      <c r="F47" s="154"/>
      <c r="G47" s="46"/>
      <c r="H47" s="154"/>
      <c r="I47" s="46"/>
      <c r="J47" s="154"/>
    </row>
    <row r="48" spans="2:15" ht="25.5" customHeight="1">
      <c r="B48" s="643" t="s">
        <v>418</v>
      </c>
      <c r="C48" s="668" t="e">
        <f>($C14*100)*C4*C5</f>
        <v>#N/A</v>
      </c>
      <c r="D48" s="669" t="e">
        <f>C48/d_BwAdult</f>
        <v>#N/A</v>
      </c>
      <c r="E48" s="668" t="e">
        <f>($C14*100)*i_AmountAS2*i_AbsorpProduct2</f>
        <v>#N/A</v>
      </c>
      <c r="F48" s="669" t="e">
        <f>E48/d_BwAdult</f>
        <v>#N/A</v>
      </c>
      <c r="G48" s="668" t="e">
        <f>($C14*100)*i_AmountAS3*i_AbsorpProduct3</f>
        <v>#N/A</v>
      </c>
      <c r="H48" s="669" t="e">
        <f>G48/d_BwAdult</f>
        <v>#N/A</v>
      </c>
      <c r="I48" s="668" t="e">
        <f>($C14*100)*i_AmountAS4*i_AbsorpProduct4</f>
        <v>#N/A</v>
      </c>
      <c r="J48" s="669" t="e">
        <f>I48/d_BwAdult</f>
        <v>#N/A</v>
      </c>
      <c r="L48" s="114"/>
      <c r="M48" s="114"/>
      <c r="N48" s="114"/>
      <c r="O48" s="114"/>
    </row>
    <row r="49" spans="2:15" ht="25.5" customHeight="1">
      <c r="B49" s="643" t="s">
        <v>420</v>
      </c>
      <c r="C49" s="253" t="e">
        <f>($C15*100)*C4*C5</f>
        <v>#N/A</v>
      </c>
      <c r="D49" s="254" t="e">
        <f>C49/d_BwAdult</f>
        <v>#N/A</v>
      </c>
      <c r="E49" s="253" t="e">
        <f>($C15*100)*i_AmountAS2*i_AbsorpProduct2</f>
        <v>#N/A</v>
      </c>
      <c r="F49" s="254" t="e">
        <f>E49/d_BwAdult</f>
        <v>#N/A</v>
      </c>
      <c r="G49" s="253" t="e">
        <f>($C15*100)*i_AmountAS3*i_AbsorpProduct3</f>
        <v>#N/A</v>
      </c>
      <c r="H49" s="254" t="e">
        <f>G49/d_BwAdult</f>
        <v>#N/A</v>
      </c>
      <c r="I49" s="253" t="e">
        <f>($C15*100)*i_AmountAS4*i_AbsorpProduct4</f>
        <v>#N/A</v>
      </c>
      <c r="J49" s="254" t="e">
        <f>I49/d_BwAdult</f>
        <v>#N/A</v>
      </c>
    </row>
    <row r="50" spans="2:15" ht="25.5" customHeight="1">
      <c r="B50" s="643" t="s">
        <v>109</v>
      </c>
      <c r="C50" s="253" t="e">
        <f>$C16*i_AmountAS1*i_AbsorpInhalation1</f>
        <v>#N/A</v>
      </c>
      <c r="D50" s="254" t="e">
        <f>C50/d_BwAdult</f>
        <v>#N/A</v>
      </c>
      <c r="E50" s="253" t="e">
        <f>$C16*i_AmountAS2*i_AbsorpInhalation2</f>
        <v>#N/A</v>
      </c>
      <c r="F50" s="254" t="e">
        <f>E50/d_BwAdult</f>
        <v>#N/A</v>
      </c>
      <c r="G50" s="253" t="e">
        <f>$C16*i_AmountAS3*i_AbsorpInhalation3</f>
        <v>#N/A</v>
      </c>
      <c r="H50" s="254" t="e">
        <f>G50/d_BwAdult</f>
        <v>#N/A</v>
      </c>
      <c r="I50" s="253" t="e">
        <f>$C16*i_AmountAS4*i_AbsorpInhalation4</f>
        <v>#N/A</v>
      </c>
      <c r="J50" s="254" t="e">
        <f>I50/d_BwAdult</f>
        <v>#N/A</v>
      </c>
    </row>
    <row r="51" spans="2:15">
      <c r="B51" s="643" t="s">
        <v>449</v>
      </c>
      <c r="C51" s="253" t="e">
        <f>C48+C49+C50</f>
        <v>#N/A</v>
      </c>
      <c r="D51" s="254" t="e">
        <f>C51/d_BwAdult</f>
        <v>#N/A</v>
      </c>
      <c r="E51" s="253" t="e">
        <f>E48+E49+E50</f>
        <v>#N/A</v>
      </c>
      <c r="F51" s="254" t="e">
        <f>E51/d_BwAdult</f>
        <v>#N/A</v>
      </c>
      <c r="G51" s="253" t="e">
        <f>G48+G49+G50</f>
        <v>#N/A</v>
      </c>
      <c r="H51" s="254" t="e">
        <f>G51/d_BwAdult</f>
        <v>#N/A</v>
      </c>
      <c r="I51" s="253" t="e">
        <f>I48+I49+I50</f>
        <v>#N/A</v>
      </c>
      <c r="J51" s="254" t="e">
        <f>I51/d_BwAdult</f>
        <v>#N/A</v>
      </c>
    </row>
    <row r="52" spans="2:15" ht="15" customHeight="1">
      <c r="B52" s="53" t="s">
        <v>450</v>
      </c>
      <c r="C52" s="158"/>
      <c r="D52" s="155"/>
      <c r="E52" s="158"/>
      <c r="F52" s="155"/>
      <c r="G52" s="158"/>
      <c r="H52" s="155"/>
      <c r="I52" s="158"/>
      <c r="J52" s="155"/>
      <c r="L52" s="114"/>
      <c r="M52" s="114"/>
      <c r="N52" s="114"/>
      <c r="O52" s="114"/>
    </row>
    <row r="53" spans="2:15" ht="15" customHeight="1">
      <c r="B53" s="643" t="s">
        <v>418</v>
      </c>
      <c r="C53" s="668" t="e">
        <f>IF($C18="None",C48,$C14*C4*C5)</f>
        <v>#N/A</v>
      </c>
      <c r="D53" s="669" t="e">
        <f>C53/d_BwAdult</f>
        <v>#N/A</v>
      </c>
      <c r="E53" s="668" t="e">
        <f>IF($C18="None",E48,$C14*i_AmountAS2*i_AbsorpProduct2)</f>
        <v>#N/A</v>
      </c>
      <c r="F53" s="669" t="e">
        <f>E53/d_BwAdult</f>
        <v>#N/A</v>
      </c>
      <c r="G53" s="668" t="e">
        <f>IF($C18="None",G48,$C14*i_AmountAS3*i_AbsorpProduct3)</f>
        <v>#N/A</v>
      </c>
      <c r="H53" s="669" t="e">
        <f>G53/d_BwAdult</f>
        <v>#N/A</v>
      </c>
      <c r="I53" s="668" t="e">
        <f>IF($C18="None",I48,$C14*i_AmountAS4*i_AbsorpProduct4)</f>
        <v>#N/A</v>
      </c>
      <c r="J53" s="669" t="e">
        <f>I53/d_BwAdult</f>
        <v>#N/A</v>
      </c>
    </row>
    <row r="54" spans="2:15" ht="25.5" customHeight="1">
      <c r="B54" s="643" t="s">
        <v>420</v>
      </c>
      <c r="C54" s="253" t="e">
        <f>IF($C19="Potential exposure",C49,$C15*i_AmountAS1*i_AbsorpProduct1)</f>
        <v>#N/A</v>
      </c>
      <c r="D54" s="254" t="e">
        <f>C54/d_BwAdult</f>
        <v>#N/A</v>
      </c>
      <c r="E54" s="253" t="e">
        <f>IF($C19="Potential exposure",E49,$C15*i_AmountAS2*i_AbsorpProduct2)</f>
        <v>#N/A</v>
      </c>
      <c r="F54" s="254" t="e">
        <f>E54/d_BwAdult</f>
        <v>#N/A</v>
      </c>
      <c r="G54" s="253" t="e">
        <f>IF($C19="Potential exposure",G49,$C15*i_AmountAS3*i_AbsorpProduct3)</f>
        <v>#N/A</v>
      </c>
      <c r="H54" s="254" t="e">
        <f>G54/d_BwAdult</f>
        <v>#N/A</v>
      </c>
      <c r="I54" s="253" t="e">
        <f>IF($C19="Potential exposure",I49,$C15*i_AmountAS4*i_AbsorpProduct4)</f>
        <v>#N/A</v>
      </c>
      <c r="J54" s="254" t="e">
        <f>I54/d_BwAdult</f>
        <v>#N/A</v>
      </c>
    </row>
    <row r="55" spans="2:15" ht="25.5" customHeight="1">
      <c r="B55" s="643" t="s">
        <v>109</v>
      </c>
      <c r="C55" s="253" t="e">
        <f>$C16*C4*i_AbsorpInhalation1*MLPenFactorPHED</f>
        <v>#N/A</v>
      </c>
      <c r="D55" s="254" t="e">
        <f>C55/d_BwAdult</f>
        <v>#N/A</v>
      </c>
      <c r="E55" s="253" t="e">
        <f>$C16*E4*i_AbsorpInhalation2*MLPenFactorPHED</f>
        <v>#N/A</v>
      </c>
      <c r="F55" s="254" t="e">
        <f>E55/d_BwAdult</f>
        <v>#N/A</v>
      </c>
      <c r="G55" s="253" t="e">
        <f>$C16*G4*i_AbsorpInhalation3*MLPenFactorPHED</f>
        <v>#N/A</v>
      </c>
      <c r="H55" s="254" t="e">
        <f>G55/d_BwAdult</f>
        <v>#N/A</v>
      </c>
      <c r="I55" s="253" t="e">
        <f>$C16*I4*i_AbsorpInhalation4*MLPenFactorPHED</f>
        <v>#N/A</v>
      </c>
      <c r="J55" s="254" t="e">
        <f>I55/d_BwAdult</f>
        <v>#N/A</v>
      </c>
    </row>
    <row r="56" spans="2:15" ht="15" customHeight="1" thickBot="1">
      <c r="B56" s="192" t="s">
        <v>449</v>
      </c>
      <c r="C56" s="299" t="e">
        <f>SUM(C53,C54,C55)</f>
        <v>#N/A</v>
      </c>
      <c r="D56" s="292" t="e">
        <f>C56/d_BwAdult</f>
        <v>#N/A</v>
      </c>
      <c r="E56" s="299" t="e">
        <f>SUM(E53,E54,E55)</f>
        <v>#N/A</v>
      </c>
      <c r="F56" s="292" t="e">
        <f>E56/d_BwAdult</f>
        <v>#N/A</v>
      </c>
      <c r="G56" s="299" t="e">
        <f>SUM(G53,G54,G55)</f>
        <v>#N/A</v>
      </c>
      <c r="H56" s="292" t="e">
        <f>G56/d_BwAdult</f>
        <v>#N/A</v>
      </c>
      <c r="I56" s="299" t="e">
        <f>SUM(I53,I54,I55)</f>
        <v>#N/A</v>
      </c>
      <c r="J56" s="292" t="e">
        <f>I56/d_BwAdult</f>
        <v>#N/A</v>
      </c>
    </row>
    <row r="57" spans="2:15" ht="15.75" thickBot="1">
      <c r="B57" s="54"/>
      <c r="C57" s="194"/>
      <c r="D57" s="195"/>
      <c r="E57" s="55"/>
      <c r="F57" s="55"/>
      <c r="G57" s="55"/>
      <c r="H57" s="55"/>
      <c r="I57" s="55"/>
      <c r="J57" s="55"/>
    </row>
    <row r="58" spans="2:15" ht="19.5" thickBot="1">
      <c r="B58" s="183" t="s">
        <v>451</v>
      </c>
      <c r="C58" s="937">
        <f>i_SubstName1</f>
        <v>0</v>
      </c>
      <c r="D58" s="938"/>
      <c r="E58" s="937">
        <f>i_SubstName2</f>
        <v>0</v>
      </c>
      <c r="F58" s="938"/>
      <c r="G58" s="937">
        <f>i_SubstName3</f>
        <v>0</v>
      </c>
      <c r="H58" s="938"/>
      <c r="I58" s="937">
        <f>i_SubstName4</f>
        <v>0</v>
      </c>
      <c r="J58" s="938"/>
    </row>
    <row r="59" spans="2:15" ht="30">
      <c r="B59" s="188"/>
      <c r="C59" s="656" t="s">
        <v>447</v>
      </c>
      <c r="D59" s="653" t="s">
        <v>448</v>
      </c>
      <c r="E59" s="656" t="s">
        <v>447</v>
      </c>
      <c r="F59" s="653" t="s">
        <v>448</v>
      </c>
      <c r="G59" s="656" t="s">
        <v>447</v>
      </c>
      <c r="H59" s="653" t="s">
        <v>448</v>
      </c>
      <c r="I59" s="656" t="s">
        <v>447</v>
      </c>
      <c r="J59" s="653" t="s">
        <v>448</v>
      </c>
    </row>
    <row r="60" spans="2:15">
      <c r="B60" s="189"/>
      <c r="C60" s="193"/>
      <c r="D60" s="45"/>
      <c r="E60" s="190"/>
      <c r="F60" s="191"/>
      <c r="G60" s="190"/>
      <c r="H60" s="191"/>
      <c r="I60" s="190"/>
      <c r="J60" s="191"/>
    </row>
    <row r="61" spans="2:15" ht="15" customHeight="1">
      <c r="B61" s="150" t="s">
        <v>437</v>
      </c>
      <c r="C61" s="46"/>
      <c r="D61" s="154"/>
      <c r="E61" s="153"/>
      <c r="F61" s="154"/>
      <c r="G61" s="153"/>
      <c r="H61" s="154"/>
      <c r="I61" s="153"/>
      <c r="J61" s="154"/>
    </row>
    <row r="62" spans="2:15" ht="15" customHeight="1">
      <c r="B62" s="643" t="s">
        <v>418</v>
      </c>
      <c r="C62" s="668" t="e">
        <f>($C23*100)*i_AmountAS1*i_AbsorpProduct1</f>
        <v>#N/A</v>
      </c>
      <c r="D62" s="669" t="e">
        <f>C62/d_BwAdult</f>
        <v>#N/A</v>
      </c>
      <c r="E62" s="668" t="e">
        <f>($C23*100)*i_AmountAS2*i_AbsorpProduct2</f>
        <v>#N/A</v>
      </c>
      <c r="F62" s="669" t="e">
        <f>E62/d_BwAdult</f>
        <v>#N/A</v>
      </c>
      <c r="G62" s="668" t="e">
        <f>($C23*100)*i_AmountAS3*i_AbsorpProduct3</f>
        <v>#N/A</v>
      </c>
      <c r="H62" s="669" t="e">
        <f>G62/d_BwAdult</f>
        <v>#N/A</v>
      </c>
      <c r="I62" s="668" t="e">
        <f>($C23*100)*i_AmountAS4*i_AbsorpProduct4</f>
        <v>#N/A</v>
      </c>
      <c r="J62" s="669" t="e">
        <f>I62/d_BwAdult</f>
        <v>#N/A</v>
      </c>
    </row>
    <row r="63" spans="2:15" ht="25.5" customHeight="1">
      <c r="B63" s="643" t="s">
        <v>420</v>
      </c>
      <c r="C63" s="253" t="e">
        <f>($C24*100)*i_AmountAS1*i_AbsorpProduct1</f>
        <v>#N/A</v>
      </c>
      <c r="D63" s="254" t="e">
        <f>C63/d_BwAdult</f>
        <v>#N/A</v>
      </c>
      <c r="E63" s="253" t="e">
        <f>($C24*100)*i_AmountAS2*i_AbsorpProduct2</f>
        <v>#N/A</v>
      </c>
      <c r="F63" s="254" t="e">
        <f>E63/d_BwAdult</f>
        <v>#N/A</v>
      </c>
      <c r="G63" s="253" t="e">
        <f>($C24*100)*i_AmountAS3*i_AbsorpProduct3</f>
        <v>#N/A</v>
      </c>
      <c r="H63" s="254" t="e">
        <f>G63/d_BwAdult</f>
        <v>#N/A</v>
      </c>
      <c r="I63" s="253" t="e">
        <f>($C24*100)*i_AmountAS4*i_AbsorpProduct4</f>
        <v>#N/A</v>
      </c>
      <c r="J63" s="254" t="e">
        <f>I63/d_BwAdult</f>
        <v>#N/A</v>
      </c>
    </row>
    <row r="64" spans="2:15" ht="25.5" customHeight="1">
      <c r="B64" s="643" t="s">
        <v>109</v>
      </c>
      <c r="C64" s="253" t="e">
        <f>($C25)*i_AmountAS1*i_AbsorpInhalation1</f>
        <v>#N/A</v>
      </c>
      <c r="D64" s="254" t="e">
        <f>C64/d_BwAdult</f>
        <v>#N/A</v>
      </c>
      <c r="E64" s="253" t="e">
        <f>($C25)*i_AmountAS2*i_AbsorpInhalation2</f>
        <v>#N/A</v>
      </c>
      <c r="F64" s="254" t="e">
        <f>E64/d_BwAdult</f>
        <v>#N/A</v>
      </c>
      <c r="G64" s="253" t="e">
        <f>($C25)*i_AmountAS3*i_AbsorpInhalation3</f>
        <v>#N/A</v>
      </c>
      <c r="H64" s="254" t="e">
        <f>G64/d_BwAdult</f>
        <v>#N/A</v>
      </c>
      <c r="I64" s="253" t="e">
        <f>($C25)*i_AmountAS4*i_AbsorpInhalation4</f>
        <v>#N/A</v>
      </c>
      <c r="J64" s="254" t="e">
        <f>I64/d_BwAdult</f>
        <v>#N/A</v>
      </c>
    </row>
    <row r="65" spans="2:10">
      <c r="B65" s="643" t="s">
        <v>475</v>
      </c>
      <c r="C65" s="253" t="e">
        <f>C62+C63+C64</f>
        <v>#N/A</v>
      </c>
      <c r="D65" s="254" t="e">
        <f>C65/d_BwAdult</f>
        <v>#N/A</v>
      </c>
      <c r="E65" s="253" t="e">
        <f>E62+E63+E64</f>
        <v>#N/A</v>
      </c>
      <c r="F65" s="254" t="e">
        <f>E65/d_BwAdult</f>
        <v>#N/A</v>
      </c>
      <c r="G65" s="253" t="e">
        <f>G62+G63+G64</f>
        <v>#N/A</v>
      </c>
      <c r="H65" s="254" t="e">
        <f>G65/d_BwAdult</f>
        <v>#N/A</v>
      </c>
      <c r="I65" s="253" t="e">
        <f>I62+I63+I64</f>
        <v>#N/A</v>
      </c>
      <c r="J65" s="254" t="e">
        <f>I65/d_BwAdult</f>
        <v>#N/A</v>
      </c>
    </row>
    <row r="66" spans="2:10" ht="15" customHeight="1">
      <c r="B66" s="150" t="s">
        <v>450</v>
      </c>
      <c r="C66" s="158"/>
      <c r="D66" s="155"/>
      <c r="E66" s="158"/>
      <c r="F66" s="155"/>
      <c r="G66" s="158"/>
      <c r="H66" s="155"/>
      <c r="I66" s="158"/>
      <c r="J66" s="155"/>
    </row>
    <row r="67" spans="2:10" ht="25.5" customHeight="1">
      <c r="B67" s="643" t="s">
        <v>418</v>
      </c>
      <c r="C67" s="668" t="e">
        <f>IF($C27="None",C62,$C23*i_AmountAS1*i_AbsorpProduct1)</f>
        <v>#N/A</v>
      </c>
      <c r="D67" s="669" t="e">
        <f>C67/d_BwAdult</f>
        <v>#N/A</v>
      </c>
      <c r="E67" s="668" t="e">
        <f>IF($C27="None",E62,$C23*i_AmountAS2*i_AbsorpProduct2)</f>
        <v>#N/A</v>
      </c>
      <c r="F67" s="669" t="e">
        <f>E67/d_BwAdult</f>
        <v>#N/A</v>
      </c>
      <c r="G67" s="668" t="e">
        <f>IF($C27="None",G62,$C23*i_AmountAS3*i_AbsorpProduct3)</f>
        <v>#N/A</v>
      </c>
      <c r="H67" s="669" t="e">
        <f>G67/d_BwAdult</f>
        <v>#N/A</v>
      </c>
      <c r="I67" s="668" t="e">
        <f>IF($C27="None",I62,$C23*i_AmountAS4*i_AbsorpProduct4)</f>
        <v>#N/A</v>
      </c>
      <c r="J67" s="669" t="e">
        <f>I67/d_BwAdult</f>
        <v>#N/A</v>
      </c>
    </row>
    <row r="68" spans="2:10" ht="25.5" customHeight="1">
      <c r="B68" s="643" t="s">
        <v>420</v>
      </c>
      <c r="C68" s="253" t="e">
        <f>IF($C28="Potential exposure",C63,$C24*i_AmountAS1*i_AbsorpProduct1)</f>
        <v>#N/A</v>
      </c>
      <c r="D68" s="254" t="e">
        <f>C68/d_BwAdult</f>
        <v>#N/A</v>
      </c>
      <c r="E68" s="253" t="e">
        <f>IF($C28="Potential exposure",E63,$C24*i_AmountAS2*i_AbsorpProduct2)</f>
        <v>#N/A</v>
      </c>
      <c r="F68" s="254" t="e">
        <f>E68/d_BwAdult</f>
        <v>#N/A</v>
      </c>
      <c r="G68" s="253" t="e">
        <f>IF($C28="Potential exposure",G63,$C24*i_AmountAS3*i_AbsorpProduct3)</f>
        <v>#N/A</v>
      </c>
      <c r="H68" s="254" t="e">
        <f>G68/d_BwAdult</f>
        <v>#N/A</v>
      </c>
      <c r="I68" s="253" t="e">
        <f>IF($C28="Potential exposure",I63,$C24*i_AmountAS4*i_AbsorpProduct4)</f>
        <v>#N/A</v>
      </c>
      <c r="J68" s="254" t="e">
        <f>I68/d_BwAdult</f>
        <v>#N/A</v>
      </c>
    </row>
    <row r="69" spans="2:10" ht="15" customHeight="1">
      <c r="B69" s="643" t="s">
        <v>109</v>
      </c>
      <c r="C69" s="253" t="e">
        <f>$C25*i_AmountAS1*i_AbsorpInhalation1*AppPenFactorPHED</f>
        <v>#N/A</v>
      </c>
      <c r="D69" s="254" t="e">
        <f>C69/d_BwAdult</f>
        <v>#N/A</v>
      </c>
      <c r="E69" s="253" t="e">
        <f>$C25*i_AmountAS2*i_AbsorpInhalation2*AppPenFactorPHED</f>
        <v>#N/A</v>
      </c>
      <c r="F69" s="254" t="e">
        <f>E69/d_BwAdult</f>
        <v>#N/A</v>
      </c>
      <c r="G69" s="253" t="e">
        <f>$C25*i_AmountAS3*i_AbsorpInhalation3*AppPenFactorPHED</f>
        <v>#N/A</v>
      </c>
      <c r="H69" s="254" t="e">
        <f>G69/d_BwAdult</f>
        <v>#N/A</v>
      </c>
      <c r="I69" s="253" t="e">
        <f>$C25*i_AmountAS4*i_AbsorpInhalation4*AppPenFactorPHED</f>
        <v>#N/A</v>
      </c>
      <c r="J69" s="254" t="e">
        <f>I69/d_BwAdult</f>
        <v>#N/A</v>
      </c>
    </row>
    <row r="70" spans="2:10" ht="15.75" thickBot="1">
      <c r="B70" s="192" t="s">
        <v>449</v>
      </c>
      <c r="C70" s="299" t="e">
        <f>SUM(C67:C69)</f>
        <v>#N/A</v>
      </c>
      <c r="D70" s="292" t="e">
        <f>C70/d_BwAdult</f>
        <v>#N/A</v>
      </c>
      <c r="E70" s="299" t="e">
        <f>SUM(E67:E69)</f>
        <v>#N/A</v>
      </c>
      <c r="F70" s="292" t="e">
        <f>E70/d_BwAdult</f>
        <v>#N/A</v>
      </c>
      <c r="G70" s="299" t="e">
        <f>SUM(G67:G69)</f>
        <v>#N/A</v>
      </c>
      <c r="H70" s="292" t="e">
        <f>G70/d_BwAdult</f>
        <v>#N/A</v>
      </c>
      <c r="I70" s="299" t="e">
        <f>SUM(I67:I69)</f>
        <v>#N/A</v>
      </c>
      <c r="J70" s="292" t="e">
        <f>I70/d_BwAdult</f>
        <v>#N/A</v>
      </c>
    </row>
    <row r="71" spans="2:10" s="43" customFormat="1">
      <c r="B71"/>
      <c r="C71"/>
      <c r="D71" s="644"/>
      <c r="E71"/>
      <c r="F71" s="644"/>
      <c r="G71"/>
      <c r="H71" s="644"/>
      <c r="I71"/>
      <c r="J71" s="644"/>
    </row>
    <row r="72" spans="2:10" s="43" customFormat="1" ht="15.75" thickBot="1">
      <c r="B72" s="51" t="s">
        <v>452</v>
      </c>
      <c r="C72"/>
      <c r="D72" s="644"/>
      <c r="E72"/>
      <c r="F72" s="644"/>
      <c r="G72"/>
      <c r="H72" s="644"/>
      <c r="I72"/>
      <c r="J72" s="644"/>
    </row>
    <row r="73" spans="2:10" ht="19.5" thickBot="1">
      <c r="B73" s="51" t="s">
        <v>453</v>
      </c>
      <c r="C73" s="937">
        <f>i_SubstName1</f>
        <v>0</v>
      </c>
      <c r="D73" s="938"/>
      <c r="E73" s="937">
        <f>i_SubstName2</f>
        <v>0</v>
      </c>
      <c r="F73" s="938"/>
      <c r="G73" s="937">
        <f>i_SubstName3</f>
        <v>0</v>
      </c>
      <c r="H73" s="938"/>
      <c r="I73" s="937">
        <f>i_SubstName4</f>
        <v>0</v>
      </c>
      <c r="J73" s="938"/>
    </row>
    <row r="74" spans="2:10" ht="30">
      <c r="B74" s="663"/>
      <c r="C74" s="153" t="s">
        <v>447</v>
      </c>
      <c r="D74" s="154" t="s">
        <v>448</v>
      </c>
      <c r="E74" s="153" t="s">
        <v>447</v>
      </c>
      <c r="F74" s="154" t="s">
        <v>448</v>
      </c>
      <c r="G74" s="153" t="s">
        <v>447</v>
      </c>
      <c r="H74" s="154" t="s">
        <v>448</v>
      </c>
      <c r="I74" s="153" t="s">
        <v>447</v>
      </c>
      <c r="J74" s="154" t="s">
        <v>448</v>
      </c>
    </row>
    <row r="75" spans="2:10" ht="15" customHeight="1">
      <c r="B75" s="184"/>
      <c r="C75" s="193"/>
      <c r="D75" s="45"/>
      <c r="E75" s="193"/>
      <c r="F75" s="45"/>
      <c r="G75" s="193"/>
      <c r="H75" s="45"/>
      <c r="I75" s="193"/>
      <c r="J75" s="45"/>
    </row>
    <row r="76" spans="2:10" ht="15" customHeight="1">
      <c r="B76" s="46" t="s">
        <v>437</v>
      </c>
      <c r="C76" s="46"/>
      <c r="D76" s="154"/>
      <c r="E76" s="46"/>
      <c r="F76" s="154"/>
      <c r="G76" s="46"/>
      <c r="H76" s="154"/>
      <c r="I76" s="46"/>
      <c r="J76" s="154"/>
    </row>
    <row r="77" spans="2:10" ht="25.5" customHeight="1">
      <c r="B77" s="643" t="s">
        <v>418</v>
      </c>
      <c r="C77" s="668" t="e">
        <f>($D14*100)*i_AmountAS1*i_AbsorpProduct1</f>
        <v>#N/A</v>
      </c>
      <c r="D77" s="669" t="e">
        <f>C77/d_BwAdult</f>
        <v>#N/A</v>
      </c>
      <c r="E77" s="668" t="e">
        <f>($D14*100)*i_AmountAS2*i_AbsorpProduct2</f>
        <v>#N/A</v>
      </c>
      <c r="F77" s="669" t="e">
        <f>E77/d_BwAdult</f>
        <v>#N/A</v>
      </c>
      <c r="G77" s="668" t="e">
        <f>($D14*100)*i_AmountAS3*i_AbsorpProduct3</f>
        <v>#N/A</v>
      </c>
      <c r="H77" s="669" t="e">
        <f>G77/d_BwAdult</f>
        <v>#N/A</v>
      </c>
      <c r="I77" s="668" t="e">
        <f>($D14*100)*i_AmountAS4*i_AbsorpProduct4</f>
        <v>#N/A</v>
      </c>
      <c r="J77" s="669" t="e">
        <f>I77/d_BwAdult</f>
        <v>#N/A</v>
      </c>
    </row>
    <row r="78" spans="2:10" ht="24.95" customHeight="1">
      <c r="B78" s="643" t="s">
        <v>420</v>
      </c>
      <c r="C78" s="253" t="e">
        <f>($D15*100)*i_AmountAS1*i_AbsorpProduct1</f>
        <v>#N/A</v>
      </c>
      <c r="D78" s="254" t="e">
        <f>C78/d_BwAdult</f>
        <v>#N/A</v>
      </c>
      <c r="E78" s="253" t="e">
        <f>($D15*100)*i_AmountAS2*i_AbsorpProduct2</f>
        <v>#N/A</v>
      </c>
      <c r="F78" s="254" t="e">
        <f>E78/d_BwAdult</f>
        <v>#N/A</v>
      </c>
      <c r="G78" s="253" t="e">
        <f>($D15*100)*i_AmountAS3*i_AbsorpProduct3</f>
        <v>#N/A</v>
      </c>
      <c r="H78" s="254" t="e">
        <f>G78/d_BwAdult</f>
        <v>#N/A</v>
      </c>
      <c r="I78" s="253" t="e">
        <f>($D15*100)*i_AmountAS4*i_AbsorpProduct4</f>
        <v>#N/A</v>
      </c>
      <c r="J78" s="254" t="e">
        <f>I78/d_BwAdult</f>
        <v>#N/A</v>
      </c>
    </row>
    <row r="79" spans="2:10" ht="15" customHeight="1">
      <c r="B79" s="643" t="s">
        <v>109</v>
      </c>
      <c r="C79" s="253" t="e">
        <f>$D16*i_AmountAS1*i_AbsorpInhalation1</f>
        <v>#N/A</v>
      </c>
      <c r="D79" s="254" t="e">
        <f>C79/d_BwAdult</f>
        <v>#N/A</v>
      </c>
      <c r="E79" s="253" t="e">
        <f>$D16*i_AmountAS2*i_AbsorpInhalation1</f>
        <v>#N/A</v>
      </c>
      <c r="F79" s="254" t="e">
        <f>E79/d_BwAdult</f>
        <v>#N/A</v>
      </c>
      <c r="G79" s="253" t="e">
        <f>$D16*i_AmountAS3*i_AbsorpInhalation1</f>
        <v>#N/A</v>
      </c>
      <c r="H79" s="254" t="e">
        <f>G79/d_BwAdult</f>
        <v>#N/A</v>
      </c>
      <c r="I79" s="253" t="e">
        <f>$D16*i_AmountAS4*i_AbsorpInhalation1</f>
        <v>#N/A</v>
      </c>
      <c r="J79" s="254" t="e">
        <f>I79/d_BwAdult</f>
        <v>#N/A</v>
      </c>
    </row>
    <row r="80" spans="2:10">
      <c r="B80" s="643" t="s">
        <v>449</v>
      </c>
      <c r="C80" s="253" t="e">
        <f>C77+C78+C79</f>
        <v>#N/A</v>
      </c>
      <c r="D80" s="254" t="e">
        <f>C80/d_BwAdult</f>
        <v>#N/A</v>
      </c>
      <c r="E80" s="253" t="e">
        <f>E77+E78+E79</f>
        <v>#N/A</v>
      </c>
      <c r="F80" s="254" t="e">
        <f>E80/d_BwAdult</f>
        <v>#N/A</v>
      </c>
      <c r="G80" s="253" t="e">
        <f>G77+G78+G79</f>
        <v>#N/A</v>
      </c>
      <c r="H80" s="254" t="e">
        <f>G80/d_BwAdult</f>
        <v>#N/A</v>
      </c>
      <c r="I80" s="253" t="e">
        <f>I77+I78+I79</f>
        <v>#N/A</v>
      </c>
      <c r="J80" s="254" t="e">
        <f>I80/d_BwAdult</f>
        <v>#N/A</v>
      </c>
    </row>
    <row r="81" spans="2:10" ht="24.95" customHeight="1">
      <c r="B81" s="53" t="s">
        <v>450</v>
      </c>
      <c r="C81" s="158"/>
      <c r="D81" s="155"/>
      <c r="E81" s="158"/>
      <c r="F81" s="155"/>
      <c r="G81" s="158"/>
      <c r="H81" s="155"/>
      <c r="I81" s="158"/>
      <c r="J81" s="155"/>
    </row>
    <row r="82" spans="2:10" ht="15" customHeight="1">
      <c r="B82" s="643" t="s">
        <v>418</v>
      </c>
      <c r="C82" s="668" t="e">
        <f>IF($C18="None",C77,$D14*i_AmountAS1*i_AbsorpProduct1)</f>
        <v>#N/A</v>
      </c>
      <c r="D82" s="669" t="e">
        <f>C82/d_BwAdult</f>
        <v>#N/A</v>
      </c>
      <c r="E82" s="668" t="e">
        <f>IF($C18="None",E77,$D14*i_AmountAS2*i_AbsorpProduct2)</f>
        <v>#N/A</v>
      </c>
      <c r="F82" s="669" t="e">
        <f>E82/d_BwAdult</f>
        <v>#N/A</v>
      </c>
      <c r="G82" s="668" t="e">
        <f>IF($C18="None",G77,$D14*i_AmountAS3*i_AbsorpProduct3)</f>
        <v>#N/A</v>
      </c>
      <c r="H82" s="669" t="e">
        <f>G82/d_BwAdult</f>
        <v>#N/A</v>
      </c>
      <c r="I82" s="668" t="e">
        <f>IF($C18="None",I77,$D14*i_AmountAS4*i_AbsorpProduct4)</f>
        <v>#N/A</v>
      </c>
      <c r="J82" s="669" t="e">
        <f>I82/d_BwAdult</f>
        <v>#N/A</v>
      </c>
    </row>
    <row r="83" spans="2:10" ht="15" customHeight="1">
      <c r="B83" s="643" t="s">
        <v>420</v>
      </c>
      <c r="C83" s="253" t="e">
        <f>IF($C19="Potential exposure",C78,$D15*i_AmountAS1*i_AbsorpProduct1)</f>
        <v>#N/A</v>
      </c>
      <c r="D83" s="254" t="e">
        <f>C83/d_BwAdult</f>
        <v>#N/A</v>
      </c>
      <c r="E83" s="253" t="e">
        <f>IF($C19="Potential exposure",E78,$D15*i_AmountAS2*i_AbsorpProduct2)</f>
        <v>#N/A</v>
      </c>
      <c r="F83" s="254" t="e">
        <f>E83/d_BwAdult</f>
        <v>#N/A</v>
      </c>
      <c r="G83" s="253" t="e">
        <f>IF($C19="Potential exposure",G78,$D15*i_AmountAS3*i_AbsorpProduct3)</f>
        <v>#N/A</v>
      </c>
      <c r="H83" s="254" t="e">
        <f>G83/d_BwAdult</f>
        <v>#N/A</v>
      </c>
      <c r="I83" s="253" t="e">
        <f>IF($C19="Potential exposure",I78,$D15*i_AmountAS4*i_AbsorpProduct4)</f>
        <v>#N/A</v>
      </c>
      <c r="J83" s="254" t="e">
        <f>I83/d_BwAdult</f>
        <v>#N/A</v>
      </c>
    </row>
    <row r="84" spans="2:10" ht="15" customHeight="1">
      <c r="B84" s="643" t="s">
        <v>109</v>
      </c>
      <c r="C84" s="253" t="e">
        <f>$D16*i_AmountAS1*i_AbsorpInhalation1*MLPenFactorPHED</f>
        <v>#N/A</v>
      </c>
      <c r="D84" s="254" t="e">
        <f>C84/d_BwAdult</f>
        <v>#N/A</v>
      </c>
      <c r="E84" s="253" t="e">
        <f>$D16*i_AmountAS2*i_AbsorpInhalation2*MLPenFactorPHED</f>
        <v>#N/A</v>
      </c>
      <c r="F84" s="254" t="e">
        <f>E84/d_BwAdult</f>
        <v>#N/A</v>
      </c>
      <c r="G84" s="253" t="e">
        <f>$D16*i_AmountAS3*i_AbsorpInhalation1*MLPenFactorPHED</f>
        <v>#N/A</v>
      </c>
      <c r="H84" s="254" t="e">
        <f>G84/d_BwAdult</f>
        <v>#N/A</v>
      </c>
      <c r="I84" s="253" t="e">
        <f>$D16*i_AmountAS4*i_AbsorpInhalation1*MLPenFactorPHED</f>
        <v>#N/A</v>
      </c>
      <c r="J84" s="254" t="e">
        <f>I84/d_BwAdult</f>
        <v>#N/A</v>
      </c>
    </row>
    <row r="85" spans="2:10" ht="15.75" thickBot="1">
      <c r="B85" s="192" t="s">
        <v>449</v>
      </c>
      <c r="C85" s="299" t="e">
        <f>SUM(C82:C84)</f>
        <v>#N/A</v>
      </c>
      <c r="D85" s="292" t="e">
        <f>C85/d_BwAdult</f>
        <v>#N/A</v>
      </c>
      <c r="E85" s="299" t="e">
        <f>SUM(E82:E84)</f>
        <v>#N/A</v>
      </c>
      <c r="F85" s="292" t="e">
        <f>E85/d_BwAdult</f>
        <v>#N/A</v>
      </c>
      <c r="G85" s="299" t="e">
        <f>SUM(G82:G84)</f>
        <v>#N/A</v>
      </c>
      <c r="H85" s="292" t="e">
        <f>G85/d_BwAdult</f>
        <v>#N/A</v>
      </c>
      <c r="I85" s="299" t="e">
        <f>SUM(I82:I84)</f>
        <v>#N/A</v>
      </c>
      <c r="J85" s="292" t="e">
        <f>I85/d_BwAdult</f>
        <v>#N/A</v>
      </c>
    </row>
    <row r="86" spans="2:10" s="43" customFormat="1" ht="15.75" thickBot="1">
      <c r="B86" s="54"/>
      <c r="C86" s="55"/>
      <c r="D86" s="56"/>
      <c r="E86" s="55"/>
      <c r="F86" s="56"/>
      <c r="G86" s="55"/>
      <c r="H86" s="56"/>
      <c r="I86" s="55"/>
      <c r="J86" s="56"/>
    </row>
    <row r="87" spans="2:10" s="43" customFormat="1" ht="19.5" thickBot="1">
      <c r="B87" s="183" t="s">
        <v>476</v>
      </c>
      <c r="C87" s="937">
        <f>i_SubstName1</f>
        <v>0</v>
      </c>
      <c r="D87" s="938"/>
      <c r="E87" s="937">
        <f>i_SubstName2</f>
        <v>0</v>
      </c>
      <c r="F87" s="938"/>
      <c r="G87" s="937">
        <f>i_SubstName3</f>
        <v>0</v>
      </c>
      <c r="H87" s="938"/>
      <c r="I87" s="937">
        <f>i_SubstName4</f>
        <v>0</v>
      </c>
      <c r="J87" s="938"/>
    </row>
    <row r="88" spans="2:10" ht="15" customHeight="1">
      <c r="B88" s="188"/>
      <c r="C88" s="153" t="s">
        <v>447</v>
      </c>
      <c r="D88" s="154" t="s">
        <v>448</v>
      </c>
      <c r="E88" s="153" t="s">
        <v>447</v>
      </c>
      <c r="F88" s="154" t="s">
        <v>448</v>
      </c>
      <c r="G88" s="153" t="s">
        <v>447</v>
      </c>
      <c r="H88" s="154" t="s">
        <v>448</v>
      </c>
      <c r="I88" s="153" t="s">
        <v>447</v>
      </c>
      <c r="J88" s="154" t="s">
        <v>448</v>
      </c>
    </row>
    <row r="89" spans="2:10" s="43" customFormat="1">
      <c r="B89" s="189"/>
      <c r="C89" s="193"/>
      <c r="D89" s="45"/>
      <c r="E89" s="193"/>
      <c r="F89" s="45"/>
      <c r="G89" s="193"/>
      <c r="H89" s="45"/>
      <c r="I89" s="193"/>
      <c r="J89" s="45"/>
    </row>
    <row r="90" spans="2:10" s="43" customFormat="1" ht="15" customHeight="1">
      <c r="B90" s="150" t="s">
        <v>437</v>
      </c>
      <c r="C90" s="46"/>
      <c r="D90" s="154"/>
      <c r="E90" s="46"/>
      <c r="F90" s="154"/>
      <c r="G90" s="46"/>
      <c r="H90" s="154"/>
      <c r="I90" s="46"/>
      <c r="J90" s="154"/>
    </row>
    <row r="91" spans="2:10" ht="15" customHeight="1">
      <c r="B91" s="643" t="s">
        <v>418</v>
      </c>
      <c r="C91" s="668" t="e">
        <f>($D23*100)*i_AmountAS1*i_AbsorpProduct1</f>
        <v>#N/A</v>
      </c>
      <c r="D91" s="669" t="e">
        <f>C91/d_BwAdult</f>
        <v>#N/A</v>
      </c>
      <c r="E91" s="668" t="e">
        <f>($D23*100)*i_AmountAS2*i_AbsorpProduct2</f>
        <v>#N/A</v>
      </c>
      <c r="F91" s="669" t="e">
        <f>E91/d_BwAdult</f>
        <v>#N/A</v>
      </c>
      <c r="G91" s="668" t="e">
        <f>($D23*100)*i_AmountAS3*i_AbsorpProduct3</f>
        <v>#N/A</v>
      </c>
      <c r="H91" s="669" t="e">
        <f>G91/d_BwAdult</f>
        <v>#N/A</v>
      </c>
      <c r="I91" s="668" t="e">
        <f>($D23*100)*i_AmountAS4*i_AbsorpProduct4</f>
        <v>#N/A</v>
      </c>
      <c r="J91" s="669" t="e">
        <f>I91/d_BwAdult</f>
        <v>#N/A</v>
      </c>
    </row>
    <row r="92" spans="2:10" s="43" customFormat="1" ht="25.5" customHeight="1">
      <c r="B92" s="643" t="s">
        <v>420</v>
      </c>
      <c r="C92" s="253" t="e">
        <f>($D24*100)*i_AmountAS1*i_AbsorpProduct1</f>
        <v>#N/A</v>
      </c>
      <c r="D92" s="254" t="e">
        <f>C92/d_BwAdult</f>
        <v>#N/A</v>
      </c>
      <c r="E92" s="253" t="e">
        <f>($D24*100)*i_AmountAS2*i_AbsorpProduct2</f>
        <v>#N/A</v>
      </c>
      <c r="F92" s="254" t="e">
        <f>E92/d_BwAdult</f>
        <v>#N/A</v>
      </c>
      <c r="G92" s="253" t="e">
        <f>($D24*100)*i_AmountAS3*i_AbsorpProduct3</f>
        <v>#N/A</v>
      </c>
      <c r="H92" s="254" t="e">
        <f>G92/d_BwAdult</f>
        <v>#N/A</v>
      </c>
      <c r="I92" s="253" t="e">
        <f>($D24*100)*i_AmountAS4*i_AbsorpProduct4</f>
        <v>#N/A</v>
      </c>
      <c r="J92" s="254" t="e">
        <f>I92/d_BwAdult</f>
        <v>#N/A</v>
      </c>
    </row>
    <row r="93" spans="2:10" s="43" customFormat="1" ht="25.5" customHeight="1">
      <c r="B93" s="643" t="s">
        <v>109</v>
      </c>
      <c r="C93" s="253" t="e">
        <f>($D25)*i_AmountAS1*i_AbsorpInhalation1</f>
        <v>#N/A</v>
      </c>
      <c r="D93" s="254" t="e">
        <f>C93/d_BwAdult</f>
        <v>#N/A</v>
      </c>
      <c r="E93" s="253" t="e">
        <f>($D25)*i_AmountAS2*i_AbsorpInhalation2</f>
        <v>#N/A</v>
      </c>
      <c r="F93" s="254" t="e">
        <f>E93/d_BwAdult</f>
        <v>#N/A</v>
      </c>
      <c r="G93" s="253" t="e">
        <f>($D25)*i_AmountAS3*i_AbsorpInhalation3</f>
        <v>#N/A</v>
      </c>
      <c r="H93" s="254" t="e">
        <f>G93/d_BwAdult</f>
        <v>#N/A</v>
      </c>
      <c r="I93" s="253" t="e">
        <f>($D25)*i_AmountAS4*i_AbsorpInhalation4</f>
        <v>#N/A</v>
      </c>
      <c r="J93" s="254" t="e">
        <f>I93/d_BwAdult</f>
        <v>#N/A</v>
      </c>
    </row>
    <row r="94" spans="2:10" ht="15" customHeight="1">
      <c r="B94" s="643" t="s">
        <v>475</v>
      </c>
      <c r="C94" s="253" t="e">
        <f>C91+C92+C93</f>
        <v>#N/A</v>
      </c>
      <c r="D94" s="254" t="e">
        <f>C94/d_BwAdult</f>
        <v>#N/A</v>
      </c>
      <c r="E94" s="253" t="e">
        <f>E91+E92+E93</f>
        <v>#N/A</v>
      </c>
      <c r="F94" s="254" t="e">
        <f>E94/d_BwAdult</f>
        <v>#N/A</v>
      </c>
      <c r="G94" s="253" t="e">
        <f>G91+G92+G93</f>
        <v>#N/A</v>
      </c>
      <c r="H94" s="254" t="e">
        <f>G94/d_BwAdult</f>
        <v>#N/A</v>
      </c>
      <c r="I94" s="253" t="e">
        <f>I91+I92+I93</f>
        <v>#N/A</v>
      </c>
      <c r="J94" s="254" t="e">
        <f>I94/d_BwAdult</f>
        <v>#N/A</v>
      </c>
    </row>
    <row r="95" spans="2:10" s="43" customFormat="1" ht="15" customHeight="1">
      <c r="B95" s="150" t="s">
        <v>450</v>
      </c>
      <c r="C95" s="158"/>
      <c r="D95" s="155"/>
      <c r="E95" s="158"/>
      <c r="F95" s="155"/>
      <c r="G95" s="158"/>
      <c r="H95" s="155"/>
      <c r="I95" s="158"/>
      <c r="J95" s="155"/>
    </row>
    <row r="96" spans="2:10" s="43" customFormat="1" ht="25.5" customHeight="1">
      <c r="B96" s="643" t="s">
        <v>418</v>
      </c>
      <c r="C96" s="668" t="e">
        <f>IF($C27="None",C91,$D23*i_AmountAS1*i_AbsorpProduct1)</f>
        <v>#N/A</v>
      </c>
      <c r="D96" s="669" t="e">
        <f>C96/d_BwAdult</f>
        <v>#N/A</v>
      </c>
      <c r="E96" s="668" t="e">
        <f>IF($C27="None",E91,$D23*i_AmountAS2*i_AbsorpProduct2)</f>
        <v>#N/A</v>
      </c>
      <c r="F96" s="669" t="e">
        <f>E96/d_BwAdult</f>
        <v>#N/A</v>
      </c>
      <c r="G96" s="668" t="e">
        <f>IF($C27="None",G91,$D23*i_AmountAS3*i_AbsorpProduct3)</f>
        <v>#N/A</v>
      </c>
      <c r="H96" s="669" t="e">
        <f>G96/d_BwAdult</f>
        <v>#N/A</v>
      </c>
      <c r="I96" s="668" t="e">
        <f>IF($C27="None",I91,$D23*i_AmountAS4*i_AbsorpProduct4)</f>
        <v>#N/A</v>
      </c>
      <c r="J96" s="669" t="e">
        <f>I96/d_BwAdult</f>
        <v>#N/A</v>
      </c>
    </row>
    <row r="97" spans="2:10" ht="25.5" customHeight="1">
      <c r="B97" s="643" t="s">
        <v>420</v>
      </c>
      <c r="C97" s="253" t="e">
        <f>IF($C28="Potential exposure",C92,$D24*i_AmountAS1*i_AbsorpProduct1)</f>
        <v>#N/A</v>
      </c>
      <c r="D97" s="254" t="e">
        <f>C97/d_BwAdult</f>
        <v>#N/A</v>
      </c>
      <c r="E97" s="253" t="e">
        <f>IF($C28="Potential exposure",E92,$D24*i_AmountAS2*i_AbsorpProduct2)</f>
        <v>#N/A</v>
      </c>
      <c r="F97" s="254" t="e">
        <f>E97/d_BwAdult</f>
        <v>#N/A</v>
      </c>
      <c r="G97" s="253" t="e">
        <f>IF($C28="Potential exposure",G92,$D24*i_AmountAS3*i_AbsorpProduct3)</f>
        <v>#N/A</v>
      </c>
      <c r="H97" s="254" t="e">
        <f>G97/d_BwAdult</f>
        <v>#N/A</v>
      </c>
      <c r="I97" s="253" t="e">
        <f>IF($C28="Potential exposure",I92,$D24*i_AmountAS4*i_AbsorpProduct4)</f>
        <v>#N/A</v>
      </c>
      <c r="J97" s="254" t="e">
        <f>I97/d_BwAdult</f>
        <v>#N/A</v>
      </c>
    </row>
    <row r="98" spans="2:10" ht="25.5" customHeight="1">
      <c r="B98" s="643" t="s">
        <v>109</v>
      </c>
      <c r="C98" s="253" t="e">
        <f>$D25*i_AmountAS1*i_AbsorpInhalation1*AppPenFactorPHED</f>
        <v>#N/A</v>
      </c>
      <c r="D98" s="254" t="e">
        <f>C98/d_BwAdult</f>
        <v>#N/A</v>
      </c>
      <c r="E98" s="253" t="e">
        <f>$D25*i_AmountAS2*i_AbsorpInhalation2*AppPenFactorPHED</f>
        <v>#N/A</v>
      </c>
      <c r="F98" s="254" t="e">
        <f>E98/d_BwAdult</f>
        <v>#N/A</v>
      </c>
      <c r="G98" s="253" t="e">
        <f>$D25*i_AmountAS3*i_AbsorpInhalation3*AppPenFactorPHED</f>
        <v>#N/A</v>
      </c>
      <c r="H98" s="254" t="e">
        <f>G98/d_BwAdult</f>
        <v>#N/A</v>
      </c>
      <c r="I98" s="253" t="e">
        <f>$D25*i_AmountAS4*i_AbsorpInhalation4*AppPenFactorPHED</f>
        <v>#N/A</v>
      </c>
      <c r="J98" s="254" t="e">
        <f>I98/d_BwAdult</f>
        <v>#N/A</v>
      </c>
    </row>
    <row r="99" spans="2:10" ht="15.75" thickBot="1">
      <c r="B99" s="192" t="s">
        <v>449</v>
      </c>
      <c r="C99" s="299" t="e">
        <f>SUM(C96:C98)</f>
        <v>#N/A</v>
      </c>
      <c r="D99" s="292" t="e">
        <f>C99/d_BwAdult</f>
        <v>#N/A</v>
      </c>
      <c r="E99" s="299" t="e">
        <f>SUM(E96:E98)</f>
        <v>#N/A</v>
      </c>
      <c r="F99" s="292" t="e">
        <f>E99/d_BwAdult</f>
        <v>#N/A</v>
      </c>
      <c r="G99" s="299" t="e">
        <f>SUM(G96:G98)</f>
        <v>#N/A</v>
      </c>
      <c r="H99" s="292" t="e">
        <f>G99/d_BwAdult</f>
        <v>#N/A</v>
      </c>
      <c r="I99" s="299" t="e">
        <f>SUM(I96:I98)</f>
        <v>#N/A</v>
      </c>
      <c r="J99" s="292" t="e">
        <f>I99/d_BwAdult</f>
        <v>#N/A</v>
      </c>
    </row>
  </sheetData>
  <sheetProtection algorithmName="SHA-512" hashValue="sbW4ByQMnFbyFXrZZXdfnXTm2SDznGnoDHreGPnWvwLqGSQDtam17sl5Oxml0W7o3k4gGzlxQnKpP/KYGsMPcw==" saltValue="YsyXrxU+DdSnhVMmZG/gZg==" spinCount="100000" sheet="1" formatCells="0" formatColumns="0" formatRows="0"/>
  <mergeCells count="67">
    <mergeCell ref="K36:L36"/>
    <mergeCell ref="K40:L40"/>
    <mergeCell ref="C4:D4"/>
    <mergeCell ref="C5:D5"/>
    <mergeCell ref="I4:J4"/>
    <mergeCell ref="I5:J5"/>
    <mergeCell ref="G4:H4"/>
    <mergeCell ref="G5:H5"/>
    <mergeCell ref="E4:F4"/>
    <mergeCell ref="E5:F5"/>
    <mergeCell ref="B11:C11"/>
    <mergeCell ref="L21:L22"/>
    <mergeCell ref="K31:L31"/>
    <mergeCell ref="C28:D28"/>
    <mergeCell ref="C29:D29"/>
    <mergeCell ref="B21:B22"/>
    <mergeCell ref="C2:D2"/>
    <mergeCell ref="E2:F2"/>
    <mergeCell ref="G2:H2"/>
    <mergeCell ref="I2:J2"/>
    <mergeCell ref="G3:H3"/>
    <mergeCell ref="I3:J3"/>
    <mergeCell ref="E3:F3"/>
    <mergeCell ref="C3:D3"/>
    <mergeCell ref="C87:D87"/>
    <mergeCell ref="E87:F87"/>
    <mergeCell ref="G87:H87"/>
    <mergeCell ref="I87:J87"/>
    <mergeCell ref="I44:J44"/>
    <mergeCell ref="C58:D58"/>
    <mergeCell ref="E58:F58"/>
    <mergeCell ref="G58:H58"/>
    <mergeCell ref="I58:J58"/>
    <mergeCell ref="E44:F44"/>
    <mergeCell ref="C44:D44"/>
    <mergeCell ref="G44:H44"/>
    <mergeCell ref="C73:D73"/>
    <mergeCell ref="E73:F73"/>
    <mergeCell ref="G73:H73"/>
    <mergeCell ref="I73:J73"/>
    <mergeCell ref="E43:F43"/>
    <mergeCell ref="E42:F42"/>
    <mergeCell ref="C6:D6"/>
    <mergeCell ref="C7:D7"/>
    <mergeCell ref="C8:D8"/>
    <mergeCell ref="C9:D9"/>
    <mergeCell ref="C10:D10"/>
    <mergeCell ref="C31:D31"/>
    <mergeCell ref="E31:F31"/>
    <mergeCell ref="A12:A20"/>
    <mergeCell ref="B12:B13"/>
    <mergeCell ref="K12:K13"/>
    <mergeCell ref="C20:D20"/>
    <mergeCell ref="A21:A29"/>
    <mergeCell ref="G31:H31"/>
    <mergeCell ref="I31:J31"/>
    <mergeCell ref="C12:D12"/>
    <mergeCell ref="K18:L19"/>
    <mergeCell ref="K27:L28"/>
    <mergeCell ref="L12:L13"/>
    <mergeCell ref="C17:D17"/>
    <mergeCell ref="C18:D18"/>
    <mergeCell ref="C19:D19"/>
    <mergeCell ref="K21:K22"/>
    <mergeCell ref="C21:D21"/>
    <mergeCell ref="C26:D26"/>
    <mergeCell ref="C27:D27"/>
  </mergeCells>
  <conditionalFormatting sqref="C52:J52 C62:J65">
    <cfRule type="cellIs" dxfId="5068" priority="477" operator="greaterThanOrEqual">
      <formula>10</formula>
    </cfRule>
    <cfRule type="cellIs" dxfId="5067" priority="478" operator="between">
      <formula>1</formula>
      <formula>10</formula>
    </cfRule>
    <cfRule type="cellIs" dxfId="5066" priority="479" operator="between">
      <formula>0.1</formula>
      <formula>1</formula>
    </cfRule>
    <cfRule type="cellIs" dxfId="5065" priority="480" operator="between">
      <formula>0.001</formula>
      <formula>0.01</formula>
    </cfRule>
    <cfRule type="cellIs" dxfId="5064" priority="481" operator="between">
      <formula>0</formula>
      <formula>0.001</formula>
    </cfRule>
    <cfRule type="cellIs" dxfId="5063" priority="482" operator="between">
      <formula>0.01</formula>
      <formula>0.1</formula>
    </cfRule>
  </conditionalFormatting>
  <conditionalFormatting sqref="C23:D25">
    <cfRule type="cellIs" dxfId="5062" priority="471" operator="between">
      <formula>10</formula>
      <formula>100</formula>
    </cfRule>
    <cfRule type="cellIs" dxfId="5061" priority="472" operator="between">
      <formula>1</formula>
      <formula>10</formula>
    </cfRule>
    <cfRule type="cellIs" dxfId="5060" priority="473" operator="between">
      <formula>0.1</formula>
      <formula>1</formula>
    </cfRule>
    <cfRule type="cellIs" dxfId="5059" priority="474" operator="between">
      <formula>0.001</formula>
      <formula>0.01</formula>
    </cfRule>
    <cfRule type="cellIs" dxfId="5058" priority="475" operator="between">
      <formula>0</formula>
      <formula>0.001</formula>
    </cfRule>
    <cfRule type="cellIs" dxfId="5057" priority="476" operator="between">
      <formula>0.01</formula>
      <formula>0.1</formula>
    </cfRule>
  </conditionalFormatting>
  <conditionalFormatting sqref="C23:D25">
    <cfRule type="cellIs" dxfId="5056" priority="469" operator="greaterThanOrEqual">
      <formula>10000</formula>
    </cfRule>
    <cfRule type="cellIs" dxfId="5055" priority="470" operator="greaterThanOrEqual">
      <formula>100</formula>
    </cfRule>
  </conditionalFormatting>
  <conditionalFormatting sqref="C35:J36">
    <cfRule type="cellIs" dxfId="5054" priority="455" operator="greaterThanOrEqual">
      <formula>10</formula>
    </cfRule>
    <cfRule type="cellIs" dxfId="5053" priority="456" operator="between">
      <formula>1</formula>
      <formula>10</formula>
    </cfRule>
    <cfRule type="cellIs" dxfId="5052" priority="457" operator="between">
      <formula>0.1</formula>
      <formula>1</formula>
    </cfRule>
    <cfRule type="cellIs" dxfId="5051" priority="458" operator="between">
      <formula>0.001</formula>
      <formula>0.01</formula>
    </cfRule>
    <cfRule type="cellIs" dxfId="5050" priority="459" operator="between">
      <formula>0</formula>
      <formula>0.001</formula>
    </cfRule>
    <cfRule type="cellIs" dxfId="5049" priority="460" operator="between">
      <formula>0.01</formula>
      <formula>0.1</formula>
    </cfRule>
  </conditionalFormatting>
  <conditionalFormatting sqref="D35:D36 F35:F36 H35:H36 J35:J36">
    <cfRule type="cellIs" dxfId="5048" priority="449" operator="greaterThanOrEqual">
      <formula>10</formula>
    </cfRule>
    <cfRule type="cellIs" dxfId="5047" priority="450" operator="between">
      <formula>1</formula>
      <formula>10</formula>
    </cfRule>
    <cfRule type="cellIs" dxfId="5046" priority="451" operator="between">
      <formula>0.1</formula>
      <formula>1</formula>
    </cfRule>
    <cfRule type="cellIs" dxfId="5045" priority="452" operator="between">
      <formula>0.001</formula>
      <formula>0.01</formula>
    </cfRule>
    <cfRule type="cellIs" dxfId="5044" priority="453" operator="between">
      <formula>0</formula>
      <formula>0.001</formula>
    </cfRule>
    <cfRule type="cellIs" dxfId="5043" priority="454" operator="between">
      <formula>0.01</formula>
      <formula>0.1</formula>
    </cfRule>
  </conditionalFormatting>
  <conditionalFormatting sqref="C39:J40">
    <cfRule type="cellIs" dxfId="5042" priority="443" operator="greaterThanOrEqual">
      <formula>10</formula>
    </cfRule>
    <cfRule type="cellIs" dxfId="5041" priority="444" operator="between">
      <formula>1</formula>
      <formula>10</formula>
    </cfRule>
    <cfRule type="cellIs" dxfId="5040" priority="445" operator="between">
      <formula>0.1</formula>
      <formula>1</formula>
    </cfRule>
    <cfRule type="cellIs" dxfId="5039" priority="446" operator="between">
      <formula>0.001</formula>
      <formula>0.01</formula>
    </cfRule>
    <cfRule type="cellIs" dxfId="5038" priority="447" operator="between">
      <formula>0</formula>
      <formula>0.001</formula>
    </cfRule>
    <cfRule type="cellIs" dxfId="5037" priority="448" operator="between">
      <formula>0.01</formula>
      <formula>0.1</formula>
    </cfRule>
  </conditionalFormatting>
  <conditionalFormatting sqref="D39:D40 F39:F40 H39:H40 J39:J40">
    <cfRule type="cellIs" dxfId="5036" priority="437" operator="greaterThanOrEqual">
      <formula>10</formula>
    </cfRule>
    <cfRule type="cellIs" dxfId="5035" priority="438" operator="between">
      <formula>1</formula>
      <formula>10</formula>
    </cfRule>
    <cfRule type="cellIs" dxfId="5034" priority="439" operator="between">
      <formula>0.1</formula>
      <formula>1</formula>
    </cfRule>
    <cfRule type="cellIs" dxfId="5033" priority="440" operator="between">
      <formula>0.001</formula>
      <formula>0.01</formula>
    </cfRule>
    <cfRule type="cellIs" dxfId="5032" priority="441" operator="between">
      <formula>0</formula>
      <formula>0.001</formula>
    </cfRule>
    <cfRule type="cellIs" dxfId="5031" priority="442" operator="between">
      <formula>0.01</formula>
      <formula>0.1</formula>
    </cfRule>
  </conditionalFormatting>
  <conditionalFormatting sqref="G67:G70 I67:I70 C67:C70 E67:E70">
    <cfRule type="cellIs" dxfId="5030" priority="431" operator="greaterThanOrEqual">
      <formula>10</formula>
    </cfRule>
    <cfRule type="cellIs" dxfId="5029" priority="432" operator="between">
      <formula>1</formula>
      <formula>10</formula>
    </cfRule>
    <cfRule type="cellIs" dxfId="5028" priority="433" operator="between">
      <formula>0.1</formula>
      <formula>1</formula>
    </cfRule>
    <cfRule type="cellIs" dxfId="5027" priority="434" operator="between">
      <formula>0.001</formula>
      <formula>0.01</formula>
    </cfRule>
    <cfRule type="cellIs" dxfId="5026" priority="435" operator="between">
      <formula>0</formula>
      <formula>0.001</formula>
    </cfRule>
    <cfRule type="cellIs" dxfId="5025" priority="436" operator="between">
      <formula>0.01</formula>
      <formula>0.1</formula>
    </cfRule>
  </conditionalFormatting>
  <conditionalFormatting sqref="H67:H70 J67:J70 D67:D70 F67:F70">
    <cfRule type="cellIs" dxfId="5024" priority="425" operator="greaterThanOrEqual">
      <formula>10</formula>
    </cfRule>
    <cfRule type="cellIs" dxfId="5023" priority="426" operator="between">
      <formula>1</formula>
      <formula>10</formula>
    </cfRule>
    <cfRule type="cellIs" dxfId="5022" priority="427" operator="between">
      <formula>0.1</formula>
      <formula>1</formula>
    </cfRule>
    <cfRule type="cellIs" dxfId="5021" priority="428" operator="between">
      <formula>0.001</formula>
      <formula>0.01</formula>
    </cfRule>
    <cfRule type="cellIs" dxfId="5020" priority="429" operator="between">
      <formula>0</formula>
      <formula>0.001</formula>
    </cfRule>
    <cfRule type="cellIs" dxfId="5019" priority="430" operator="between">
      <formula>0.01</formula>
      <formula>0.1</formula>
    </cfRule>
  </conditionalFormatting>
  <conditionalFormatting sqref="K37:L37">
    <cfRule type="cellIs" dxfId="5018" priority="421" operator="between">
      <formula>0.001</formula>
      <formula>0.01</formula>
    </cfRule>
    <cfRule type="cellIs" dxfId="5017" priority="422" operator="between">
      <formula>0.1</formula>
      <formula>1</formula>
    </cfRule>
    <cfRule type="cellIs" dxfId="5016" priority="423" operator="greaterThanOrEqual">
      <formula>1</formula>
    </cfRule>
    <cfRule type="cellIs" dxfId="5015" priority="424" operator="between">
      <formula>0.01</formula>
      <formula>0.1</formula>
    </cfRule>
  </conditionalFormatting>
  <conditionalFormatting sqref="K41:L41">
    <cfRule type="cellIs" dxfId="5014" priority="417" operator="between">
      <formula>0.001</formula>
      <formula>0.01</formula>
    </cfRule>
    <cfRule type="cellIs" dxfId="5013" priority="418" operator="between">
      <formula>0.1</formula>
      <formula>1</formula>
    </cfRule>
    <cfRule type="cellIs" dxfId="5012" priority="419" operator="greaterThanOrEqual">
      <formula>1</formula>
    </cfRule>
    <cfRule type="cellIs" dxfId="5011" priority="420" operator="between">
      <formula>0.01</formula>
      <formula>0.1</formula>
    </cfRule>
  </conditionalFormatting>
  <conditionalFormatting sqref="L33">
    <cfRule type="cellIs" dxfId="5010" priority="413" operator="between">
      <formula>0.001</formula>
      <formula>0.01</formula>
    </cfRule>
    <cfRule type="cellIs" dxfId="5009" priority="414" operator="between">
      <formula>0.1</formula>
      <formula>1</formula>
    </cfRule>
    <cfRule type="cellIs" dxfId="5008" priority="415" operator="greaterThanOrEqual">
      <formula>1</formula>
    </cfRule>
    <cfRule type="cellIs" dxfId="5007" priority="416" operator="between">
      <formula>0.01</formula>
      <formula>0.1</formula>
    </cfRule>
  </conditionalFormatting>
  <conditionalFormatting sqref="C48:J51">
    <cfRule type="cellIs" dxfId="5006" priority="407" operator="greaterThanOrEqual">
      <formula>10</formula>
    </cfRule>
    <cfRule type="cellIs" dxfId="5005" priority="408" operator="between">
      <formula>1</formula>
      <formula>10</formula>
    </cfRule>
    <cfRule type="cellIs" dxfId="5004" priority="409" operator="between">
      <formula>0.1</formula>
      <formula>1</formula>
    </cfRule>
    <cfRule type="cellIs" dxfId="5003" priority="410" operator="between">
      <formula>0.001</formula>
      <formula>0.01</formula>
    </cfRule>
    <cfRule type="cellIs" dxfId="5002" priority="411" operator="between">
      <formula>0</formula>
      <formula>0.001</formula>
    </cfRule>
    <cfRule type="cellIs" dxfId="5001" priority="412" operator="between">
      <formula>0.01</formula>
      <formula>0.1</formula>
    </cfRule>
  </conditionalFormatting>
  <conditionalFormatting sqref="C48:J51">
    <cfRule type="cellIs" dxfId="5000" priority="406" operator="equal">
      <formula>0</formula>
    </cfRule>
  </conditionalFormatting>
  <conditionalFormatting sqref="C53:J56">
    <cfRule type="cellIs" dxfId="4999" priority="400" operator="greaterThanOrEqual">
      <formula>10</formula>
    </cfRule>
    <cfRule type="cellIs" dxfId="4998" priority="401" operator="between">
      <formula>1</formula>
      <formula>10</formula>
    </cfRule>
    <cfRule type="cellIs" dxfId="4997" priority="402" operator="between">
      <formula>0.1</formula>
      <formula>1</formula>
    </cfRule>
    <cfRule type="cellIs" dxfId="4996" priority="403" operator="between">
      <formula>0.001</formula>
      <formula>0.01</formula>
    </cfRule>
    <cfRule type="cellIs" dxfId="4995" priority="404" operator="between">
      <formula>0</formula>
      <formula>0.001</formula>
    </cfRule>
    <cfRule type="cellIs" dxfId="4994" priority="405" operator="between">
      <formula>0.01</formula>
      <formula>0.1</formula>
    </cfRule>
  </conditionalFormatting>
  <conditionalFormatting sqref="C53:J56">
    <cfRule type="cellIs" dxfId="4993" priority="399" operator="equal">
      <formula>0</formula>
    </cfRule>
  </conditionalFormatting>
  <conditionalFormatting sqref="C81:J81">
    <cfRule type="cellIs" dxfId="4992" priority="393" operator="greaterThanOrEqual">
      <formula>10</formula>
    </cfRule>
    <cfRule type="cellIs" dxfId="4991" priority="394" operator="between">
      <formula>1</formula>
      <formula>10</formula>
    </cfRule>
    <cfRule type="cellIs" dxfId="4990" priority="395" operator="between">
      <formula>0.1</formula>
      <formula>1</formula>
    </cfRule>
    <cfRule type="cellIs" dxfId="4989" priority="396" operator="between">
      <formula>0.001</formula>
      <formula>0.01</formula>
    </cfRule>
    <cfRule type="cellIs" dxfId="4988" priority="397" operator="between">
      <formula>0</formula>
      <formula>0.001</formula>
    </cfRule>
    <cfRule type="cellIs" dxfId="4987" priority="398" operator="between">
      <formula>0.01</formula>
      <formula>0.1</formula>
    </cfRule>
  </conditionalFormatting>
  <conditionalFormatting sqref="C77:D80">
    <cfRule type="cellIs" dxfId="4986" priority="387" operator="greaterThanOrEqual">
      <formula>10</formula>
    </cfRule>
    <cfRule type="cellIs" dxfId="4985" priority="388" operator="between">
      <formula>1</formula>
      <formula>10</formula>
    </cfRule>
    <cfRule type="cellIs" dxfId="4984" priority="389" operator="between">
      <formula>0.1</formula>
      <formula>1</formula>
    </cfRule>
    <cfRule type="cellIs" dxfId="4983" priority="390" operator="between">
      <formula>0.001</formula>
      <formula>0.01</formula>
    </cfRule>
    <cfRule type="cellIs" dxfId="4982" priority="391" operator="between">
      <formula>0</formula>
      <formula>0.001</formula>
    </cfRule>
    <cfRule type="cellIs" dxfId="4981" priority="392" operator="between">
      <formula>0.01</formula>
      <formula>0.1</formula>
    </cfRule>
  </conditionalFormatting>
  <conditionalFormatting sqref="C77:D80">
    <cfRule type="cellIs" dxfId="4980" priority="386" operator="equal">
      <formula>0</formula>
    </cfRule>
  </conditionalFormatting>
  <conditionalFormatting sqref="C82:D85">
    <cfRule type="cellIs" dxfId="4979" priority="380" operator="greaterThanOrEqual">
      <formula>10</formula>
    </cfRule>
    <cfRule type="cellIs" dxfId="4978" priority="381" operator="between">
      <formula>1</formula>
      <formula>10</formula>
    </cfRule>
    <cfRule type="cellIs" dxfId="4977" priority="382" operator="between">
      <formula>0.1</formula>
      <formula>1</formula>
    </cfRule>
    <cfRule type="cellIs" dxfId="4976" priority="383" operator="between">
      <formula>0.001</formula>
      <formula>0.01</formula>
    </cfRule>
    <cfRule type="cellIs" dxfId="4975" priority="384" operator="between">
      <formula>0</formula>
      <formula>0.001</formula>
    </cfRule>
    <cfRule type="cellIs" dxfId="4974" priority="385" operator="between">
      <formula>0.01</formula>
      <formula>0.1</formula>
    </cfRule>
  </conditionalFormatting>
  <conditionalFormatting sqref="C82:D85">
    <cfRule type="cellIs" dxfId="4973" priority="379" operator="equal">
      <formula>0</formula>
    </cfRule>
  </conditionalFormatting>
  <conditionalFormatting sqref="E77:F80">
    <cfRule type="cellIs" dxfId="4972" priority="373" operator="greaterThanOrEqual">
      <formula>10</formula>
    </cfRule>
    <cfRule type="cellIs" dxfId="4971" priority="374" operator="between">
      <formula>1</formula>
      <formula>10</formula>
    </cfRule>
    <cfRule type="cellIs" dxfId="4970" priority="375" operator="between">
      <formula>0.1</formula>
      <formula>1</formula>
    </cfRule>
    <cfRule type="cellIs" dxfId="4969" priority="376" operator="between">
      <formula>0.001</formula>
      <formula>0.01</formula>
    </cfRule>
    <cfRule type="cellIs" dxfId="4968" priority="377" operator="between">
      <formula>0</formula>
      <formula>0.001</formula>
    </cfRule>
    <cfRule type="cellIs" dxfId="4967" priority="378" operator="between">
      <formula>0.01</formula>
      <formula>0.1</formula>
    </cfRule>
  </conditionalFormatting>
  <conditionalFormatting sqref="E77:F80">
    <cfRule type="cellIs" dxfId="4966" priority="372" operator="equal">
      <formula>0</formula>
    </cfRule>
  </conditionalFormatting>
  <conditionalFormatting sqref="E82:F85">
    <cfRule type="cellIs" dxfId="4965" priority="366" operator="greaterThanOrEqual">
      <formula>10</formula>
    </cfRule>
    <cfRule type="cellIs" dxfId="4964" priority="367" operator="between">
      <formula>1</formula>
      <formula>10</formula>
    </cfRule>
    <cfRule type="cellIs" dxfId="4963" priority="368" operator="between">
      <formula>0.1</formula>
      <formula>1</formula>
    </cfRule>
    <cfRule type="cellIs" dxfId="4962" priority="369" operator="between">
      <formula>0.001</formula>
      <formula>0.01</formula>
    </cfRule>
    <cfRule type="cellIs" dxfId="4961" priority="370" operator="between">
      <formula>0</formula>
      <formula>0.001</formula>
    </cfRule>
    <cfRule type="cellIs" dxfId="4960" priority="371" operator="between">
      <formula>0.01</formula>
      <formula>0.1</formula>
    </cfRule>
  </conditionalFormatting>
  <conditionalFormatting sqref="E82:F85">
    <cfRule type="cellIs" dxfId="4959" priority="365" operator="equal">
      <formula>0</formula>
    </cfRule>
  </conditionalFormatting>
  <conditionalFormatting sqref="G77:H80">
    <cfRule type="cellIs" dxfId="4958" priority="359" operator="greaterThanOrEqual">
      <formula>10</formula>
    </cfRule>
    <cfRule type="cellIs" dxfId="4957" priority="360" operator="between">
      <formula>1</formula>
      <formula>10</formula>
    </cfRule>
    <cfRule type="cellIs" dxfId="4956" priority="361" operator="between">
      <formula>0.1</formula>
      <formula>1</formula>
    </cfRule>
    <cfRule type="cellIs" dxfId="4955" priority="362" operator="between">
      <formula>0.001</formula>
      <formula>0.01</formula>
    </cfRule>
    <cfRule type="cellIs" dxfId="4954" priority="363" operator="between">
      <formula>0</formula>
      <formula>0.001</formula>
    </cfRule>
    <cfRule type="cellIs" dxfId="4953" priority="364" operator="between">
      <formula>0.01</formula>
      <formula>0.1</formula>
    </cfRule>
  </conditionalFormatting>
  <conditionalFormatting sqref="G77:H80">
    <cfRule type="cellIs" dxfId="4952" priority="358" operator="equal">
      <formula>0</formula>
    </cfRule>
  </conditionalFormatting>
  <conditionalFormatting sqref="G82:H85">
    <cfRule type="cellIs" dxfId="4951" priority="352" operator="greaterThanOrEqual">
      <formula>10</formula>
    </cfRule>
    <cfRule type="cellIs" dxfId="4950" priority="353" operator="between">
      <formula>1</formula>
      <formula>10</formula>
    </cfRule>
    <cfRule type="cellIs" dxfId="4949" priority="354" operator="between">
      <formula>0.1</formula>
      <formula>1</formula>
    </cfRule>
    <cfRule type="cellIs" dxfId="4948" priority="355" operator="between">
      <formula>0.001</formula>
      <formula>0.01</formula>
    </cfRule>
    <cfRule type="cellIs" dxfId="4947" priority="356" operator="between">
      <formula>0</formula>
      <formula>0.001</formula>
    </cfRule>
    <cfRule type="cellIs" dxfId="4946" priority="357" operator="between">
      <formula>0.01</formula>
      <formula>0.1</formula>
    </cfRule>
  </conditionalFormatting>
  <conditionalFormatting sqref="G82:H85">
    <cfRule type="cellIs" dxfId="4945" priority="351" operator="equal">
      <formula>0</formula>
    </cfRule>
  </conditionalFormatting>
  <conditionalFormatting sqref="I77:J80">
    <cfRule type="cellIs" dxfId="4944" priority="345" operator="greaterThanOrEqual">
      <formula>10</formula>
    </cfRule>
    <cfRule type="cellIs" dxfId="4943" priority="346" operator="between">
      <formula>1</formula>
      <formula>10</formula>
    </cfRule>
    <cfRule type="cellIs" dxfId="4942" priority="347" operator="between">
      <formula>0.1</formula>
      <formula>1</formula>
    </cfRule>
    <cfRule type="cellIs" dxfId="4941" priority="348" operator="between">
      <formula>0.001</formula>
      <formula>0.01</formula>
    </cfRule>
    <cfRule type="cellIs" dxfId="4940" priority="349" operator="between">
      <formula>0</formula>
      <formula>0.001</formula>
    </cfRule>
    <cfRule type="cellIs" dxfId="4939" priority="350" operator="between">
      <formula>0.01</formula>
      <formula>0.1</formula>
    </cfRule>
  </conditionalFormatting>
  <conditionalFormatting sqref="I77:J80">
    <cfRule type="cellIs" dxfId="4938" priority="344" operator="equal">
      <formula>0</formula>
    </cfRule>
  </conditionalFormatting>
  <conditionalFormatting sqref="I82:J85">
    <cfRule type="cellIs" dxfId="4937" priority="338" operator="greaterThanOrEqual">
      <formula>10</formula>
    </cfRule>
    <cfRule type="cellIs" dxfId="4936" priority="339" operator="between">
      <formula>1</formula>
      <formula>10</formula>
    </cfRule>
    <cfRule type="cellIs" dxfId="4935" priority="340" operator="between">
      <formula>0.1</formula>
      <formula>1</formula>
    </cfRule>
    <cfRule type="cellIs" dxfId="4934" priority="341" operator="between">
      <formula>0.001</formula>
      <formula>0.01</formula>
    </cfRule>
    <cfRule type="cellIs" dxfId="4933" priority="342" operator="between">
      <formula>0</formula>
      <formula>0.001</formula>
    </cfRule>
    <cfRule type="cellIs" dxfId="4932" priority="343" operator="between">
      <formula>0.01</formula>
      <formula>0.1</formula>
    </cfRule>
  </conditionalFormatting>
  <conditionalFormatting sqref="I82:J85">
    <cfRule type="cellIs" dxfId="4931" priority="337" operator="equal">
      <formula>0</formula>
    </cfRule>
  </conditionalFormatting>
  <conditionalFormatting sqref="C66:D66">
    <cfRule type="cellIs" dxfId="4930" priority="331" operator="greaterThanOrEqual">
      <formula>10</formula>
    </cfRule>
    <cfRule type="cellIs" dxfId="4929" priority="332" operator="between">
      <formula>1</formula>
      <formula>10</formula>
    </cfRule>
    <cfRule type="cellIs" dxfId="4928" priority="333" operator="between">
      <formula>0.1</formula>
      <formula>1</formula>
    </cfRule>
    <cfRule type="cellIs" dxfId="4927" priority="334" operator="between">
      <formula>0.001</formula>
      <formula>0.01</formula>
    </cfRule>
    <cfRule type="cellIs" dxfId="4926" priority="335" operator="between">
      <formula>0</formula>
      <formula>0.001</formula>
    </cfRule>
    <cfRule type="cellIs" dxfId="4925" priority="336" operator="between">
      <formula>0.01</formula>
      <formula>0.1</formula>
    </cfRule>
  </conditionalFormatting>
  <conditionalFormatting sqref="C62:D65">
    <cfRule type="cellIs" dxfId="4924" priority="325" operator="greaterThanOrEqual">
      <formula>10</formula>
    </cfRule>
    <cfRule type="cellIs" dxfId="4923" priority="326" operator="between">
      <formula>1</formula>
      <formula>10</formula>
    </cfRule>
    <cfRule type="cellIs" dxfId="4922" priority="327" operator="between">
      <formula>0.1</formula>
      <formula>1</formula>
    </cfRule>
    <cfRule type="cellIs" dxfId="4921" priority="328" operator="between">
      <formula>0.001</formula>
      <formula>0.01</formula>
    </cfRule>
    <cfRule type="cellIs" dxfId="4920" priority="329" operator="between">
      <formula>0</formula>
      <formula>0.001</formula>
    </cfRule>
    <cfRule type="cellIs" dxfId="4919" priority="330" operator="between">
      <formula>0.01</formula>
      <formula>0.1</formula>
    </cfRule>
  </conditionalFormatting>
  <conditionalFormatting sqref="C62:D65">
    <cfRule type="cellIs" dxfId="4918" priority="324" operator="equal">
      <formula>0</formula>
    </cfRule>
  </conditionalFormatting>
  <conditionalFormatting sqref="C67:D70">
    <cfRule type="cellIs" dxfId="4917" priority="318" operator="greaterThanOrEqual">
      <formula>10</formula>
    </cfRule>
    <cfRule type="cellIs" dxfId="4916" priority="319" operator="between">
      <formula>1</formula>
      <formula>10</formula>
    </cfRule>
    <cfRule type="cellIs" dxfId="4915" priority="320" operator="between">
      <formula>0.1</formula>
      <formula>1</formula>
    </cfRule>
    <cfRule type="cellIs" dxfId="4914" priority="321" operator="between">
      <formula>0.001</formula>
      <formula>0.01</formula>
    </cfRule>
    <cfRule type="cellIs" dxfId="4913" priority="322" operator="between">
      <formula>0</formula>
      <formula>0.001</formula>
    </cfRule>
    <cfRule type="cellIs" dxfId="4912" priority="323" operator="between">
      <formula>0.01</formula>
      <formula>0.1</formula>
    </cfRule>
  </conditionalFormatting>
  <conditionalFormatting sqref="C67:D70">
    <cfRule type="cellIs" dxfId="4911" priority="317" operator="equal">
      <formula>0</formula>
    </cfRule>
  </conditionalFormatting>
  <conditionalFormatting sqref="C95:J95">
    <cfRule type="cellIs" dxfId="4910" priority="311" operator="greaterThanOrEqual">
      <formula>10</formula>
    </cfRule>
    <cfRule type="cellIs" dxfId="4909" priority="312" operator="between">
      <formula>1</formula>
      <formula>10</formula>
    </cfRule>
    <cfRule type="cellIs" dxfId="4908" priority="313" operator="between">
      <formula>0.1</formula>
      <formula>1</formula>
    </cfRule>
    <cfRule type="cellIs" dxfId="4907" priority="314" operator="between">
      <formula>0.001</formula>
      <formula>0.01</formula>
    </cfRule>
    <cfRule type="cellIs" dxfId="4906" priority="315" operator="between">
      <formula>0</formula>
      <formula>0.001</formula>
    </cfRule>
    <cfRule type="cellIs" dxfId="4905" priority="316" operator="between">
      <formula>0.01</formula>
      <formula>0.1</formula>
    </cfRule>
  </conditionalFormatting>
  <conditionalFormatting sqref="C91:D94">
    <cfRule type="cellIs" dxfId="4904" priority="305" operator="greaterThanOrEqual">
      <formula>10</formula>
    </cfRule>
    <cfRule type="cellIs" dxfId="4903" priority="306" operator="between">
      <formula>1</formula>
      <formula>10</formula>
    </cfRule>
    <cfRule type="cellIs" dxfId="4902" priority="307" operator="between">
      <formula>0.1</formula>
      <formula>1</formula>
    </cfRule>
    <cfRule type="cellIs" dxfId="4901" priority="308" operator="between">
      <formula>0.001</formula>
      <formula>0.01</formula>
    </cfRule>
    <cfRule type="cellIs" dxfId="4900" priority="309" operator="between">
      <formula>0</formula>
      <formula>0.001</formula>
    </cfRule>
    <cfRule type="cellIs" dxfId="4899" priority="310" operator="between">
      <formula>0.01</formula>
      <formula>0.1</formula>
    </cfRule>
  </conditionalFormatting>
  <conditionalFormatting sqref="C91:D94">
    <cfRule type="cellIs" dxfId="4898" priority="304" operator="equal">
      <formula>0</formula>
    </cfRule>
  </conditionalFormatting>
  <conditionalFormatting sqref="C96:D99">
    <cfRule type="cellIs" dxfId="4897" priority="298" operator="greaterThanOrEqual">
      <formula>10</formula>
    </cfRule>
    <cfRule type="cellIs" dxfId="4896" priority="299" operator="between">
      <formula>1</formula>
      <formula>10</formula>
    </cfRule>
    <cfRule type="cellIs" dxfId="4895" priority="300" operator="between">
      <formula>0.1</formula>
      <formula>1</formula>
    </cfRule>
    <cfRule type="cellIs" dxfId="4894" priority="301" operator="between">
      <formula>0.001</formula>
      <formula>0.01</formula>
    </cfRule>
    <cfRule type="cellIs" dxfId="4893" priority="302" operator="between">
      <formula>0</formula>
      <formula>0.001</formula>
    </cfRule>
    <cfRule type="cellIs" dxfId="4892" priority="303" operator="between">
      <formula>0.01</formula>
      <formula>0.1</formula>
    </cfRule>
  </conditionalFormatting>
  <conditionalFormatting sqref="C96:D99">
    <cfRule type="cellIs" dxfId="4891" priority="297" operator="equal">
      <formula>0</formula>
    </cfRule>
  </conditionalFormatting>
  <conditionalFormatting sqref="E91:F94">
    <cfRule type="cellIs" dxfId="4890" priority="291" operator="greaterThanOrEqual">
      <formula>10</formula>
    </cfRule>
    <cfRule type="cellIs" dxfId="4889" priority="292" operator="between">
      <formula>1</formula>
      <formula>10</formula>
    </cfRule>
    <cfRule type="cellIs" dxfId="4888" priority="293" operator="between">
      <formula>0.1</formula>
      <formula>1</formula>
    </cfRule>
    <cfRule type="cellIs" dxfId="4887" priority="294" operator="between">
      <formula>0.001</formula>
      <formula>0.01</formula>
    </cfRule>
    <cfRule type="cellIs" dxfId="4886" priority="295" operator="between">
      <formula>0</formula>
      <formula>0.001</formula>
    </cfRule>
    <cfRule type="cellIs" dxfId="4885" priority="296" operator="between">
      <formula>0.01</formula>
      <formula>0.1</formula>
    </cfRule>
  </conditionalFormatting>
  <conditionalFormatting sqref="E91:F94">
    <cfRule type="cellIs" dxfId="4884" priority="290" operator="equal">
      <formula>0</formula>
    </cfRule>
  </conditionalFormatting>
  <conditionalFormatting sqref="E96:F99">
    <cfRule type="cellIs" dxfId="4883" priority="284" operator="greaterThanOrEqual">
      <formula>10</formula>
    </cfRule>
    <cfRule type="cellIs" dxfId="4882" priority="285" operator="between">
      <formula>1</formula>
      <formula>10</formula>
    </cfRule>
    <cfRule type="cellIs" dxfId="4881" priority="286" operator="between">
      <formula>0.1</formula>
      <formula>1</formula>
    </cfRule>
    <cfRule type="cellIs" dxfId="4880" priority="287" operator="between">
      <formula>0.001</formula>
      <formula>0.01</formula>
    </cfRule>
    <cfRule type="cellIs" dxfId="4879" priority="288" operator="between">
      <formula>0</formula>
      <formula>0.001</formula>
    </cfRule>
    <cfRule type="cellIs" dxfId="4878" priority="289" operator="between">
      <formula>0.01</formula>
      <formula>0.1</formula>
    </cfRule>
  </conditionalFormatting>
  <conditionalFormatting sqref="E96:F99">
    <cfRule type="cellIs" dxfId="4877" priority="283" operator="equal">
      <formula>0</formula>
    </cfRule>
  </conditionalFormatting>
  <conditionalFormatting sqref="G91:H94">
    <cfRule type="cellIs" dxfId="4876" priority="277" operator="greaterThanOrEqual">
      <formula>10</formula>
    </cfRule>
    <cfRule type="cellIs" dxfId="4875" priority="278" operator="between">
      <formula>1</formula>
      <formula>10</formula>
    </cfRule>
    <cfRule type="cellIs" dxfId="4874" priority="279" operator="between">
      <formula>0.1</formula>
      <formula>1</formula>
    </cfRule>
    <cfRule type="cellIs" dxfId="4873" priority="280" operator="between">
      <formula>0.001</formula>
      <formula>0.01</formula>
    </cfRule>
    <cfRule type="cellIs" dxfId="4872" priority="281" operator="between">
      <formula>0</formula>
      <formula>0.001</formula>
    </cfRule>
    <cfRule type="cellIs" dxfId="4871" priority="282" operator="between">
      <formula>0.01</formula>
      <formula>0.1</formula>
    </cfRule>
  </conditionalFormatting>
  <conditionalFormatting sqref="G91:H94">
    <cfRule type="cellIs" dxfId="4870" priority="276" operator="equal">
      <formula>0</formula>
    </cfRule>
  </conditionalFormatting>
  <conditionalFormatting sqref="G96:H99">
    <cfRule type="cellIs" dxfId="4869" priority="270" operator="greaterThanOrEqual">
      <formula>10</formula>
    </cfRule>
    <cfRule type="cellIs" dxfId="4868" priority="271" operator="between">
      <formula>1</formula>
      <formula>10</formula>
    </cfRule>
    <cfRule type="cellIs" dxfId="4867" priority="272" operator="between">
      <formula>0.1</formula>
      <formula>1</formula>
    </cfRule>
    <cfRule type="cellIs" dxfId="4866" priority="273" operator="between">
      <formula>0.001</formula>
      <formula>0.01</formula>
    </cfRule>
    <cfRule type="cellIs" dxfId="4865" priority="274" operator="between">
      <formula>0</formula>
      <formula>0.001</formula>
    </cfRule>
    <cfRule type="cellIs" dxfId="4864" priority="275" operator="between">
      <formula>0.01</formula>
      <formula>0.1</formula>
    </cfRule>
  </conditionalFormatting>
  <conditionalFormatting sqref="G96:H99">
    <cfRule type="cellIs" dxfId="4863" priority="269" operator="equal">
      <formula>0</formula>
    </cfRule>
  </conditionalFormatting>
  <conditionalFormatting sqref="I91:J94">
    <cfRule type="cellIs" dxfId="4862" priority="263" operator="greaterThanOrEqual">
      <formula>10</formula>
    </cfRule>
    <cfRule type="cellIs" dxfId="4861" priority="264" operator="between">
      <formula>1</formula>
      <formula>10</formula>
    </cfRule>
    <cfRule type="cellIs" dxfId="4860" priority="265" operator="between">
      <formula>0.1</formula>
      <formula>1</formula>
    </cfRule>
    <cfRule type="cellIs" dxfId="4859" priority="266" operator="between">
      <formula>0.001</formula>
      <formula>0.01</formula>
    </cfRule>
    <cfRule type="cellIs" dxfId="4858" priority="267" operator="between">
      <formula>0</formula>
      <formula>0.001</formula>
    </cfRule>
    <cfRule type="cellIs" dxfId="4857" priority="268" operator="between">
      <formula>0.01</formula>
      <formula>0.1</formula>
    </cfRule>
  </conditionalFormatting>
  <conditionalFormatting sqref="I91:J94">
    <cfRule type="cellIs" dxfId="4856" priority="262" operator="equal">
      <formula>0</formula>
    </cfRule>
  </conditionalFormatting>
  <conditionalFormatting sqref="I96:J99">
    <cfRule type="cellIs" dxfId="4855" priority="256" operator="greaterThanOrEqual">
      <formula>10</formula>
    </cfRule>
    <cfRule type="cellIs" dxfId="4854" priority="257" operator="between">
      <formula>1</formula>
      <formula>10</formula>
    </cfRule>
    <cfRule type="cellIs" dxfId="4853" priority="258" operator="between">
      <formula>0.1</formula>
      <formula>1</formula>
    </cfRule>
    <cfRule type="cellIs" dxfId="4852" priority="259" operator="between">
      <formula>0.001</formula>
      <formula>0.01</formula>
    </cfRule>
    <cfRule type="cellIs" dxfId="4851" priority="260" operator="between">
      <formula>0</formula>
      <formula>0.001</formula>
    </cfRule>
    <cfRule type="cellIs" dxfId="4850" priority="261" operator="between">
      <formula>0.01</formula>
      <formula>0.1</formula>
    </cfRule>
  </conditionalFormatting>
  <conditionalFormatting sqref="I96:J99">
    <cfRule type="cellIs" dxfId="4849" priority="255" operator="equal">
      <formula>0</formula>
    </cfRule>
  </conditionalFormatting>
  <conditionalFormatting sqref="C14:D16">
    <cfRule type="cellIs" dxfId="4848" priority="249" operator="greaterThanOrEqual">
      <formula>10</formula>
    </cfRule>
    <cfRule type="cellIs" dxfId="4847" priority="250" operator="between">
      <formula>1</formula>
      <formula>10</formula>
    </cfRule>
    <cfRule type="cellIs" dxfId="4846" priority="251" operator="between">
      <formula>0.1</formula>
      <formula>1</formula>
    </cfRule>
    <cfRule type="cellIs" dxfId="4845" priority="252" operator="between">
      <formula>0.001</formula>
      <formula>0.01</formula>
    </cfRule>
    <cfRule type="cellIs" dxfId="4844" priority="253" operator="between">
      <formula>0</formula>
      <formula>0.001</formula>
    </cfRule>
    <cfRule type="cellIs" dxfId="4843" priority="254" operator="between">
      <formula>0.01</formula>
      <formula>0.1</formula>
    </cfRule>
  </conditionalFormatting>
  <conditionalFormatting sqref="C14:D16">
    <cfRule type="cellIs" dxfId="4842" priority="248" operator="equal">
      <formula>0</formula>
    </cfRule>
  </conditionalFormatting>
  <conditionalFormatting sqref="C37">
    <cfRule type="expression" dxfId="4841" priority="244">
      <formula>C37&gt;1</formula>
    </cfRule>
    <cfRule type="expression" dxfId="4840" priority="246">
      <formula>C37&lt;=1</formula>
    </cfRule>
  </conditionalFormatting>
  <conditionalFormatting sqref="D37">
    <cfRule type="expression" dxfId="4839" priority="243">
      <formula>D37&lt;=1</formula>
    </cfRule>
    <cfRule type="expression" dxfId="4838" priority="245">
      <formula>D37&gt;1</formula>
    </cfRule>
  </conditionalFormatting>
  <conditionalFormatting sqref="F37">
    <cfRule type="expression" dxfId="4837" priority="241">
      <formula>F37&gt;1</formula>
    </cfRule>
    <cfRule type="expression" dxfId="4836" priority="242">
      <formula>F37&lt;=1</formula>
    </cfRule>
  </conditionalFormatting>
  <conditionalFormatting sqref="G37">
    <cfRule type="expression" dxfId="4835" priority="237">
      <formula>G37&lt;=1</formula>
    </cfRule>
    <cfRule type="expression" dxfId="4834" priority="238">
      <formula>G37&gt;1</formula>
    </cfRule>
  </conditionalFormatting>
  <conditionalFormatting sqref="E37">
    <cfRule type="expression" dxfId="4833" priority="239">
      <formula>E37&gt;1</formula>
    </cfRule>
    <cfRule type="expression" dxfId="4832" priority="240">
      <formula>E37&lt;=1</formula>
    </cfRule>
  </conditionalFormatting>
  <conditionalFormatting sqref="H37">
    <cfRule type="expression" dxfId="4831" priority="235">
      <formula>H37&lt;=1</formula>
    </cfRule>
    <cfRule type="expression" dxfId="4830" priority="236">
      <formula>H37&gt;1</formula>
    </cfRule>
  </conditionalFormatting>
  <conditionalFormatting sqref="I37">
    <cfRule type="expression" dxfId="4829" priority="233">
      <formula>I37&lt;=1</formula>
    </cfRule>
    <cfRule type="expression" dxfId="4828" priority="234">
      <formula>I37&gt;1</formula>
    </cfRule>
  </conditionalFormatting>
  <conditionalFormatting sqref="J37">
    <cfRule type="expression" dxfId="4827" priority="231">
      <formula>J37&lt;=1</formula>
    </cfRule>
    <cfRule type="expression" dxfId="4826" priority="232">
      <formula>J37&gt;1</formula>
    </cfRule>
  </conditionalFormatting>
  <conditionalFormatting sqref="C41">
    <cfRule type="expression" dxfId="4825" priority="228">
      <formula>C41&gt;1</formula>
    </cfRule>
    <cfRule type="expression" dxfId="4824" priority="230">
      <formula>C41&lt;=1</formula>
    </cfRule>
  </conditionalFormatting>
  <conditionalFormatting sqref="D41">
    <cfRule type="expression" dxfId="4823" priority="227">
      <formula>D41&lt;=1</formula>
    </cfRule>
    <cfRule type="expression" dxfId="4822" priority="229">
      <formula>D41&gt;1</formula>
    </cfRule>
  </conditionalFormatting>
  <conditionalFormatting sqref="F41">
    <cfRule type="expression" dxfId="4821" priority="225">
      <formula>F41&gt;1</formula>
    </cfRule>
    <cfRule type="expression" dxfId="4820" priority="226">
      <formula>F41&lt;=1</formula>
    </cfRule>
  </conditionalFormatting>
  <conditionalFormatting sqref="G41">
    <cfRule type="expression" dxfId="4819" priority="221">
      <formula>G41&lt;=1</formula>
    </cfRule>
    <cfRule type="expression" dxfId="4818" priority="222">
      <formula>G41&gt;1</formula>
    </cfRule>
  </conditionalFormatting>
  <conditionalFormatting sqref="E41">
    <cfRule type="expression" dxfId="4817" priority="223">
      <formula>E41&gt;1</formula>
    </cfRule>
    <cfRule type="expression" dxfId="4816" priority="224">
      <formula>E41&lt;=1</formula>
    </cfRule>
  </conditionalFormatting>
  <conditionalFormatting sqref="H41">
    <cfRule type="expression" dxfId="4815" priority="219">
      <formula>H41&lt;=1</formula>
    </cfRule>
    <cfRule type="expression" dxfId="4814" priority="220">
      <formula>H41&gt;1</formula>
    </cfRule>
  </conditionalFormatting>
  <conditionalFormatting sqref="I41">
    <cfRule type="expression" dxfId="4813" priority="217">
      <formula>I41&lt;=1</formula>
    </cfRule>
    <cfRule type="expression" dxfId="4812" priority="218">
      <formula>I41&gt;1</formula>
    </cfRule>
  </conditionalFormatting>
  <conditionalFormatting sqref="J41">
    <cfRule type="expression" dxfId="4811" priority="215">
      <formula>J41&lt;=1</formula>
    </cfRule>
    <cfRule type="expression" dxfId="4810" priority="216">
      <formula>J41&gt;1</formula>
    </cfRule>
  </conditionalFormatting>
  <conditionalFormatting sqref="K37">
    <cfRule type="expression" dxfId="4809" priority="212">
      <formula>C37+E37+G37+I37&gt;1</formula>
    </cfRule>
    <cfRule type="expression" dxfId="4808" priority="214">
      <formula>C37+E37+G37+I37&lt;=1</formula>
    </cfRule>
  </conditionalFormatting>
  <conditionalFormatting sqref="L37">
    <cfRule type="expression" dxfId="4807" priority="211">
      <formula>D37+F37+H37+J37&lt;=1</formula>
    </cfRule>
    <cfRule type="expression" dxfId="4806" priority="213">
      <formula>D37+F37+H37+J37&gt;1</formula>
    </cfRule>
  </conditionalFormatting>
  <conditionalFormatting sqref="K41:L41">
    <cfRule type="cellIs" dxfId="4805" priority="207" operator="between">
      <formula>0.001</formula>
      <formula>0.01</formula>
    </cfRule>
    <cfRule type="cellIs" dxfId="4804" priority="208" operator="between">
      <formula>0.1</formula>
      <formula>1</formula>
    </cfRule>
    <cfRule type="cellIs" dxfId="4803" priority="209" operator="greaterThanOrEqual">
      <formula>1</formula>
    </cfRule>
    <cfRule type="cellIs" dxfId="4802" priority="210" operator="between">
      <formula>0.01</formula>
      <formula>0.1</formula>
    </cfRule>
  </conditionalFormatting>
  <conditionalFormatting sqref="K41">
    <cfRule type="expression" dxfId="4801" priority="204">
      <formula>C41+E41+G41+I41&gt;1</formula>
    </cfRule>
    <cfRule type="expression" dxfId="4800" priority="206">
      <formula>C41+E41+G41+I41&lt;=1</formula>
    </cfRule>
  </conditionalFormatting>
  <conditionalFormatting sqref="L41">
    <cfRule type="expression" dxfId="4799" priority="203">
      <formula>D41+F41+H41+J41&lt;=1</formula>
    </cfRule>
    <cfRule type="expression" dxfId="4798" priority="205">
      <formula>D41+F41+H41+J41&gt;1</formula>
    </cfRule>
  </conditionalFormatting>
  <conditionalFormatting sqref="E85">
    <cfRule type="cellIs" dxfId="4797" priority="197" operator="greaterThanOrEqual">
      <formula>10</formula>
    </cfRule>
    <cfRule type="cellIs" dxfId="4796" priority="198" operator="between">
      <formula>1</formula>
      <formula>10</formula>
    </cfRule>
    <cfRule type="cellIs" dxfId="4795" priority="199" operator="between">
      <formula>0.1</formula>
      <formula>1</formula>
    </cfRule>
    <cfRule type="cellIs" dxfId="4794" priority="200" operator="between">
      <formula>0.001</formula>
      <formula>0.01</formula>
    </cfRule>
    <cfRule type="cellIs" dxfId="4793" priority="201" operator="between">
      <formula>0</formula>
      <formula>0.001</formula>
    </cfRule>
    <cfRule type="cellIs" dxfId="4792" priority="202" operator="between">
      <formula>0.01</formula>
      <formula>0.1</formula>
    </cfRule>
  </conditionalFormatting>
  <conditionalFormatting sqref="E85">
    <cfRule type="cellIs" dxfId="4791" priority="196" operator="equal">
      <formula>0</formula>
    </cfRule>
  </conditionalFormatting>
  <conditionalFormatting sqref="G85">
    <cfRule type="cellIs" dxfId="4790" priority="190" operator="greaterThanOrEqual">
      <formula>10</formula>
    </cfRule>
    <cfRule type="cellIs" dxfId="4789" priority="191" operator="between">
      <formula>1</formula>
      <formula>10</formula>
    </cfRule>
    <cfRule type="cellIs" dxfId="4788" priority="192" operator="between">
      <formula>0.1</formula>
      <formula>1</formula>
    </cfRule>
    <cfRule type="cellIs" dxfId="4787" priority="193" operator="between">
      <formula>0.001</formula>
      <formula>0.01</formula>
    </cfRule>
    <cfRule type="cellIs" dxfId="4786" priority="194" operator="between">
      <formula>0</formula>
      <formula>0.001</formula>
    </cfRule>
    <cfRule type="cellIs" dxfId="4785" priority="195" operator="between">
      <formula>0.01</formula>
      <formula>0.1</formula>
    </cfRule>
  </conditionalFormatting>
  <conditionalFormatting sqref="G85">
    <cfRule type="cellIs" dxfId="4784" priority="189" operator="equal">
      <formula>0</formula>
    </cfRule>
  </conditionalFormatting>
  <conditionalFormatting sqref="G85">
    <cfRule type="cellIs" dxfId="4783" priority="183" operator="greaterThanOrEqual">
      <formula>10</formula>
    </cfRule>
    <cfRule type="cellIs" dxfId="4782" priority="184" operator="between">
      <formula>1</formula>
      <formula>10</formula>
    </cfRule>
    <cfRule type="cellIs" dxfId="4781" priority="185" operator="between">
      <formula>0.1</formula>
      <formula>1</formula>
    </cfRule>
    <cfRule type="cellIs" dxfId="4780" priority="186" operator="between">
      <formula>0.001</formula>
      <formula>0.01</formula>
    </cfRule>
    <cfRule type="cellIs" dxfId="4779" priority="187" operator="between">
      <formula>0</formula>
      <formula>0.001</formula>
    </cfRule>
    <cfRule type="cellIs" dxfId="4778" priority="188" operator="between">
      <formula>0.01</formula>
      <formula>0.1</formula>
    </cfRule>
  </conditionalFormatting>
  <conditionalFormatting sqref="G85">
    <cfRule type="cellIs" dxfId="4777" priority="182" operator="equal">
      <formula>0</formula>
    </cfRule>
  </conditionalFormatting>
  <conditionalFormatting sqref="I85">
    <cfRule type="cellIs" dxfId="4776" priority="176" operator="greaterThanOrEqual">
      <formula>10</formula>
    </cfRule>
    <cfRule type="cellIs" dxfId="4775" priority="177" operator="between">
      <formula>1</formula>
      <formula>10</formula>
    </cfRule>
    <cfRule type="cellIs" dxfId="4774" priority="178" operator="between">
      <formula>0.1</formula>
      <formula>1</formula>
    </cfRule>
    <cfRule type="cellIs" dxfId="4773" priority="179" operator="between">
      <formula>0.001</formula>
      <formula>0.01</formula>
    </cfRule>
    <cfRule type="cellIs" dxfId="4772" priority="180" operator="between">
      <formula>0</formula>
      <formula>0.001</formula>
    </cfRule>
    <cfRule type="cellIs" dxfId="4771" priority="181" operator="between">
      <formula>0.01</formula>
      <formula>0.1</formula>
    </cfRule>
  </conditionalFormatting>
  <conditionalFormatting sqref="I85">
    <cfRule type="cellIs" dxfId="4770" priority="175" operator="equal">
      <formula>0</formula>
    </cfRule>
  </conditionalFormatting>
  <conditionalFormatting sqref="I85">
    <cfRule type="cellIs" dxfId="4769" priority="169" operator="greaterThanOrEqual">
      <formula>10</formula>
    </cfRule>
    <cfRule type="cellIs" dxfId="4768" priority="170" operator="between">
      <formula>1</formula>
      <formula>10</formula>
    </cfRule>
    <cfRule type="cellIs" dxfId="4767" priority="171" operator="between">
      <formula>0.1</formula>
      <formula>1</formula>
    </cfRule>
    <cfRule type="cellIs" dxfId="4766" priority="172" operator="between">
      <formula>0.001</formula>
      <formula>0.01</formula>
    </cfRule>
    <cfRule type="cellIs" dxfId="4765" priority="173" operator="between">
      <formula>0</formula>
      <formula>0.001</formula>
    </cfRule>
    <cfRule type="cellIs" dxfId="4764" priority="174" operator="between">
      <formula>0.01</formula>
      <formula>0.1</formula>
    </cfRule>
  </conditionalFormatting>
  <conditionalFormatting sqref="I85">
    <cfRule type="cellIs" dxfId="4763" priority="168" operator="equal">
      <formula>0</formula>
    </cfRule>
  </conditionalFormatting>
  <conditionalFormatting sqref="I85">
    <cfRule type="cellIs" dxfId="4762" priority="162" operator="greaterThanOrEqual">
      <formula>10</formula>
    </cfRule>
    <cfRule type="cellIs" dxfId="4761" priority="163" operator="between">
      <formula>1</formula>
      <formula>10</formula>
    </cfRule>
    <cfRule type="cellIs" dxfId="4760" priority="164" operator="between">
      <formula>0.1</formula>
      <formula>1</formula>
    </cfRule>
    <cfRule type="cellIs" dxfId="4759" priority="165" operator="between">
      <formula>0.001</formula>
      <formula>0.01</formula>
    </cfRule>
    <cfRule type="cellIs" dxfId="4758" priority="166" operator="between">
      <formula>0</formula>
      <formula>0.001</formula>
    </cfRule>
    <cfRule type="cellIs" dxfId="4757" priority="167" operator="between">
      <formula>0.01</formula>
      <formula>0.1</formula>
    </cfRule>
  </conditionalFormatting>
  <conditionalFormatting sqref="I85">
    <cfRule type="cellIs" dxfId="4756" priority="161" operator="equal">
      <formula>0</formula>
    </cfRule>
  </conditionalFormatting>
  <conditionalFormatting sqref="E99">
    <cfRule type="cellIs" dxfId="4755" priority="155" operator="greaterThanOrEqual">
      <formula>10</formula>
    </cfRule>
    <cfRule type="cellIs" dxfId="4754" priority="156" operator="between">
      <formula>1</formula>
      <formula>10</formula>
    </cfRule>
    <cfRule type="cellIs" dxfId="4753" priority="157" operator="between">
      <formula>0.1</formula>
      <formula>1</formula>
    </cfRule>
    <cfRule type="cellIs" dxfId="4752" priority="158" operator="between">
      <formula>0.001</formula>
      <formula>0.01</formula>
    </cfRule>
    <cfRule type="cellIs" dxfId="4751" priority="159" operator="between">
      <formula>0</formula>
      <formula>0.001</formula>
    </cfRule>
    <cfRule type="cellIs" dxfId="4750" priority="160" operator="between">
      <formula>0.01</formula>
      <formula>0.1</formula>
    </cfRule>
  </conditionalFormatting>
  <conditionalFormatting sqref="E99">
    <cfRule type="cellIs" dxfId="4749" priority="154" operator="equal">
      <formula>0</formula>
    </cfRule>
  </conditionalFormatting>
  <conditionalFormatting sqref="G99">
    <cfRule type="cellIs" dxfId="4748" priority="148" operator="greaterThanOrEqual">
      <formula>10</formula>
    </cfRule>
    <cfRule type="cellIs" dxfId="4747" priority="149" operator="between">
      <formula>1</formula>
      <formula>10</formula>
    </cfRule>
    <cfRule type="cellIs" dxfId="4746" priority="150" operator="between">
      <formula>0.1</formula>
      <formula>1</formula>
    </cfRule>
    <cfRule type="cellIs" dxfId="4745" priority="151" operator="between">
      <formula>0.001</formula>
      <formula>0.01</formula>
    </cfRule>
    <cfRule type="cellIs" dxfId="4744" priority="152" operator="between">
      <formula>0</formula>
      <formula>0.001</formula>
    </cfRule>
    <cfRule type="cellIs" dxfId="4743" priority="153" operator="between">
      <formula>0.01</formula>
      <formula>0.1</formula>
    </cfRule>
  </conditionalFormatting>
  <conditionalFormatting sqref="G99">
    <cfRule type="cellIs" dxfId="4742" priority="147" operator="equal">
      <formula>0</formula>
    </cfRule>
  </conditionalFormatting>
  <conditionalFormatting sqref="G99">
    <cfRule type="cellIs" dxfId="4741" priority="141" operator="greaterThanOrEqual">
      <formula>10</formula>
    </cfRule>
    <cfRule type="cellIs" dxfId="4740" priority="142" operator="between">
      <formula>1</formula>
      <formula>10</formula>
    </cfRule>
    <cfRule type="cellIs" dxfId="4739" priority="143" operator="between">
      <formula>0.1</formula>
      <formula>1</formula>
    </cfRule>
    <cfRule type="cellIs" dxfId="4738" priority="144" operator="between">
      <formula>0.001</formula>
      <formula>0.01</formula>
    </cfRule>
    <cfRule type="cellIs" dxfId="4737" priority="145" operator="between">
      <formula>0</formula>
      <formula>0.001</formula>
    </cfRule>
    <cfRule type="cellIs" dxfId="4736" priority="146" operator="between">
      <formula>0.01</formula>
      <formula>0.1</formula>
    </cfRule>
  </conditionalFormatting>
  <conditionalFormatting sqref="G99">
    <cfRule type="cellIs" dxfId="4735" priority="140" operator="equal">
      <formula>0</formula>
    </cfRule>
  </conditionalFormatting>
  <conditionalFormatting sqref="I99">
    <cfRule type="cellIs" dxfId="4734" priority="134" operator="greaterThanOrEqual">
      <formula>10</formula>
    </cfRule>
    <cfRule type="cellIs" dxfId="4733" priority="135" operator="between">
      <formula>1</formula>
      <formula>10</formula>
    </cfRule>
    <cfRule type="cellIs" dxfId="4732" priority="136" operator="between">
      <formula>0.1</formula>
      <formula>1</formula>
    </cfRule>
    <cfRule type="cellIs" dxfId="4731" priority="137" operator="between">
      <formula>0.001</formula>
      <formula>0.01</formula>
    </cfRule>
    <cfRule type="cellIs" dxfId="4730" priority="138" operator="between">
      <formula>0</formula>
      <formula>0.001</formula>
    </cfRule>
    <cfRule type="cellIs" dxfId="4729" priority="139" operator="between">
      <formula>0.01</formula>
      <formula>0.1</formula>
    </cfRule>
  </conditionalFormatting>
  <conditionalFormatting sqref="I99">
    <cfRule type="cellIs" dxfId="4728" priority="133" operator="equal">
      <formula>0</formula>
    </cfRule>
  </conditionalFormatting>
  <conditionalFormatting sqref="I99">
    <cfRule type="cellIs" dxfId="4727" priority="127" operator="greaterThanOrEqual">
      <formula>10</formula>
    </cfRule>
    <cfRule type="cellIs" dxfId="4726" priority="128" operator="between">
      <formula>1</formula>
      <formula>10</formula>
    </cfRule>
    <cfRule type="cellIs" dxfId="4725" priority="129" operator="between">
      <formula>0.1</formula>
      <formula>1</formula>
    </cfRule>
    <cfRule type="cellIs" dxfId="4724" priority="130" operator="between">
      <formula>0.001</formula>
      <formula>0.01</formula>
    </cfRule>
    <cfRule type="cellIs" dxfId="4723" priority="131" operator="between">
      <formula>0</formula>
      <formula>0.001</formula>
    </cfRule>
    <cfRule type="cellIs" dxfId="4722" priority="132" operator="between">
      <formula>0.01</formula>
      <formula>0.1</formula>
    </cfRule>
  </conditionalFormatting>
  <conditionalFormatting sqref="I99">
    <cfRule type="cellIs" dxfId="4721" priority="126" operator="equal">
      <formula>0</formula>
    </cfRule>
  </conditionalFormatting>
  <conditionalFormatting sqref="I99">
    <cfRule type="cellIs" dxfId="4720" priority="120" operator="greaterThanOrEqual">
      <formula>10</formula>
    </cfRule>
    <cfRule type="cellIs" dxfId="4719" priority="121" operator="between">
      <formula>1</formula>
      <formula>10</formula>
    </cfRule>
    <cfRule type="cellIs" dxfId="4718" priority="122" operator="between">
      <formula>0.1</formula>
      <formula>1</formula>
    </cfRule>
    <cfRule type="cellIs" dxfId="4717" priority="123" operator="between">
      <formula>0.001</formula>
      <formula>0.01</formula>
    </cfRule>
    <cfRule type="cellIs" dxfId="4716" priority="124" operator="between">
      <formula>0</formula>
      <formula>0.001</formula>
    </cfRule>
    <cfRule type="cellIs" dxfId="4715" priority="125" operator="between">
      <formula>0.01</formula>
      <formula>0.1</formula>
    </cfRule>
  </conditionalFormatting>
  <conditionalFormatting sqref="I99">
    <cfRule type="cellIs" dxfId="4714" priority="119" operator="equal">
      <formula>0</formula>
    </cfRule>
  </conditionalFormatting>
  <conditionalFormatting sqref="G35:J36">
    <cfRule type="cellIs" dxfId="4713" priority="113" operator="greaterThanOrEqual">
      <formula>10</formula>
    </cfRule>
    <cfRule type="cellIs" dxfId="4712" priority="114" operator="between">
      <formula>1</formula>
      <formula>10</formula>
    </cfRule>
    <cfRule type="cellIs" dxfId="4711" priority="115" operator="between">
      <formula>0.1</formula>
      <formula>1</formula>
    </cfRule>
    <cfRule type="cellIs" dxfId="4710" priority="116" operator="between">
      <formula>0.001</formula>
      <formula>0.01</formula>
    </cfRule>
    <cfRule type="cellIs" dxfId="4709" priority="117" operator="between">
      <formula>0</formula>
      <formula>0.001</formula>
    </cfRule>
    <cfRule type="cellIs" dxfId="4708" priority="118" operator="between">
      <formula>0.01</formula>
      <formula>0.1</formula>
    </cfRule>
  </conditionalFormatting>
  <conditionalFormatting sqref="G35:J36">
    <cfRule type="cellIs" dxfId="4707" priority="112" operator="equal">
      <formula>0</formula>
    </cfRule>
  </conditionalFormatting>
  <conditionalFormatting sqref="G39:J40">
    <cfRule type="cellIs" dxfId="4706" priority="106" operator="greaterThanOrEqual">
      <formula>10</formula>
    </cfRule>
    <cfRule type="cellIs" dxfId="4705" priority="107" operator="between">
      <formula>1</formula>
      <formula>10</formula>
    </cfRule>
    <cfRule type="cellIs" dxfId="4704" priority="108" operator="between">
      <formula>0.1</formula>
      <formula>1</formula>
    </cfRule>
    <cfRule type="cellIs" dxfId="4703" priority="109" operator="between">
      <formula>0.001</formula>
      <formula>0.01</formula>
    </cfRule>
    <cfRule type="cellIs" dxfId="4702" priority="110" operator="between">
      <formula>0</formula>
      <formula>0.001</formula>
    </cfRule>
    <cfRule type="cellIs" dxfId="4701" priority="111" operator="between">
      <formula>0.01</formula>
      <formula>0.1</formula>
    </cfRule>
  </conditionalFormatting>
  <conditionalFormatting sqref="H39:H40 J39:J40">
    <cfRule type="cellIs" dxfId="4700" priority="100" operator="greaterThanOrEqual">
      <formula>10</formula>
    </cfRule>
    <cfRule type="cellIs" dxfId="4699" priority="101" operator="between">
      <formula>1</formula>
      <formula>10</formula>
    </cfRule>
    <cfRule type="cellIs" dxfId="4698" priority="102" operator="between">
      <formula>0.1</formula>
      <formula>1</formula>
    </cfRule>
    <cfRule type="cellIs" dxfId="4697" priority="103" operator="between">
      <formula>0.001</formula>
      <formula>0.01</formula>
    </cfRule>
    <cfRule type="cellIs" dxfId="4696" priority="104" operator="between">
      <formula>0</formula>
      <formula>0.001</formula>
    </cfRule>
    <cfRule type="cellIs" dxfId="4695" priority="105" operator="between">
      <formula>0.01</formula>
      <formula>0.1</formula>
    </cfRule>
  </conditionalFormatting>
  <conditionalFormatting sqref="G39:J40">
    <cfRule type="cellIs" dxfId="4694" priority="94" operator="greaterThanOrEqual">
      <formula>10</formula>
    </cfRule>
    <cfRule type="cellIs" dxfId="4693" priority="95" operator="between">
      <formula>1</formula>
      <formula>10</formula>
    </cfRule>
    <cfRule type="cellIs" dxfId="4692" priority="96" operator="between">
      <formula>0.1</formula>
      <formula>1</formula>
    </cfRule>
    <cfRule type="cellIs" dxfId="4691" priority="97" operator="between">
      <formula>0.001</formula>
      <formula>0.01</formula>
    </cfRule>
    <cfRule type="cellIs" dxfId="4690" priority="98" operator="between">
      <formula>0</formula>
      <formula>0.001</formula>
    </cfRule>
    <cfRule type="cellIs" dxfId="4689" priority="99" operator="between">
      <formula>0.01</formula>
      <formula>0.1</formula>
    </cfRule>
  </conditionalFormatting>
  <conditionalFormatting sqref="G39:J40">
    <cfRule type="cellIs" dxfId="4688" priority="93" operator="equal">
      <formula>0</formula>
    </cfRule>
  </conditionalFormatting>
  <conditionalFormatting sqref="C66:J66">
    <cfRule type="cellIs" dxfId="4687" priority="87" operator="greaterThanOrEqual">
      <formula>10</formula>
    </cfRule>
    <cfRule type="cellIs" dxfId="4686" priority="88" operator="between">
      <formula>1</formula>
      <formula>10</formula>
    </cfRule>
    <cfRule type="cellIs" dxfId="4685" priority="89" operator="between">
      <formula>0.1</formula>
      <formula>1</formula>
    </cfRule>
    <cfRule type="cellIs" dxfId="4684" priority="90" operator="between">
      <formula>0.001</formula>
      <formula>0.01</formula>
    </cfRule>
    <cfRule type="cellIs" dxfId="4683" priority="91" operator="between">
      <formula>0</formula>
      <formula>0.001</formula>
    </cfRule>
    <cfRule type="cellIs" dxfId="4682" priority="92" operator="between">
      <formula>0.01</formula>
      <formula>0.1</formula>
    </cfRule>
  </conditionalFormatting>
  <conditionalFormatting sqref="G62:J65">
    <cfRule type="cellIs" dxfId="4681" priority="81" operator="greaterThanOrEqual">
      <formula>10</formula>
    </cfRule>
    <cfRule type="cellIs" dxfId="4680" priority="82" operator="between">
      <formula>1</formula>
      <formula>10</formula>
    </cfRule>
    <cfRule type="cellIs" dxfId="4679" priority="83" operator="between">
      <formula>0.1</formula>
      <formula>1</formula>
    </cfRule>
    <cfRule type="cellIs" dxfId="4678" priority="84" operator="between">
      <formula>0.001</formula>
      <formula>0.01</formula>
    </cfRule>
    <cfRule type="cellIs" dxfId="4677" priority="85" operator="between">
      <formula>0</formula>
      <formula>0.001</formula>
    </cfRule>
    <cfRule type="cellIs" dxfId="4676" priority="86" operator="between">
      <formula>0.01</formula>
      <formula>0.1</formula>
    </cfRule>
  </conditionalFormatting>
  <conditionalFormatting sqref="G62:J65">
    <cfRule type="cellIs" dxfId="4675" priority="80" operator="equal">
      <formula>0</formula>
    </cfRule>
  </conditionalFormatting>
  <conditionalFormatting sqref="G67:J70">
    <cfRule type="cellIs" dxfId="4674" priority="74" operator="greaterThanOrEqual">
      <formula>10</formula>
    </cfRule>
    <cfRule type="cellIs" dxfId="4673" priority="75" operator="between">
      <formula>1</formula>
      <formula>10</formula>
    </cfRule>
    <cfRule type="cellIs" dxfId="4672" priority="76" operator="between">
      <formula>0.1</formula>
      <formula>1</formula>
    </cfRule>
    <cfRule type="cellIs" dxfId="4671" priority="77" operator="between">
      <formula>0.001</formula>
      <formula>0.01</formula>
    </cfRule>
    <cfRule type="cellIs" dxfId="4670" priority="78" operator="between">
      <formula>0</formula>
      <formula>0.001</formula>
    </cfRule>
    <cfRule type="cellIs" dxfId="4669" priority="79" operator="between">
      <formula>0.01</formula>
      <formula>0.1</formula>
    </cfRule>
  </conditionalFormatting>
  <conditionalFormatting sqref="G67:J70">
    <cfRule type="cellIs" dxfId="4668" priority="73" operator="equal">
      <formula>0</formula>
    </cfRule>
  </conditionalFormatting>
  <conditionalFormatting sqref="C62:F65">
    <cfRule type="cellIs" dxfId="4667" priority="67" operator="greaterThanOrEqual">
      <formula>10</formula>
    </cfRule>
    <cfRule type="cellIs" dxfId="4666" priority="68" operator="between">
      <formula>1</formula>
      <formula>10</formula>
    </cfRule>
    <cfRule type="cellIs" dxfId="4665" priority="69" operator="between">
      <formula>0.1</formula>
      <formula>1</formula>
    </cfRule>
    <cfRule type="cellIs" dxfId="4664" priority="70" operator="between">
      <formula>0.001</formula>
      <formula>0.01</formula>
    </cfRule>
    <cfRule type="cellIs" dxfId="4663" priority="71" operator="between">
      <formula>0</formula>
      <formula>0.001</formula>
    </cfRule>
    <cfRule type="cellIs" dxfId="4662" priority="72" operator="between">
      <formula>0.01</formula>
      <formula>0.1</formula>
    </cfRule>
  </conditionalFormatting>
  <conditionalFormatting sqref="C62:F65">
    <cfRule type="cellIs" dxfId="4661" priority="66" operator="equal">
      <formula>0</formula>
    </cfRule>
  </conditionalFormatting>
  <conditionalFormatting sqref="C67:F70">
    <cfRule type="cellIs" dxfId="4660" priority="60" operator="greaterThanOrEqual">
      <formula>10</formula>
    </cfRule>
    <cfRule type="cellIs" dxfId="4659" priority="61" operator="between">
      <formula>1</formula>
      <formula>10</formula>
    </cfRule>
    <cfRule type="cellIs" dxfId="4658" priority="62" operator="between">
      <formula>0.1</formula>
      <formula>1</formula>
    </cfRule>
    <cfRule type="cellIs" dxfId="4657" priority="63" operator="between">
      <formula>0.001</formula>
      <formula>0.01</formula>
    </cfRule>
    <cfRule type="cellIs" dxfId="4656" priority="64" operator="between">
      <formula>0</formula>
      <formula>0.001</formula>
    </cfRule>
    <cfRule type="cellIs" dxfId="4655" priority="65" operator="between">
      <formula>0.01</formula>
      <formula>0.1</formula>
    </cfRule>
  </conditionalFormatting>
  <conditionalFormatting sqref="C67:F70">
    <cfRule type="cellIs" dxfId="4654" priority="59" operator="equal">
      <formula>0</formula>
    </cfRule>
  </conditionalFormatting>
  <conditionalFormatting sqref="C48:F51">
    <cfRule type="cellIs" dxfId="4653" priority="53" operator="greaterThanOrEqual">
      <formula>10</formula>
    </cfRule>
    <cfRule type="cellIs" dxfId="4652" priority="54" operator="between">
      <formula>1</formula>
      <formula>10</formula>
    </cfRule>
    <cfRule type="cellIs" dxfId="4651" priority="55" operator="between">
      <formula>0.1</formula>
      <formula>1</formula>
    </cfRule>
    <cfRule type="cellIs" dxfId="4650" priority="56" operator="between">
      <formula>0.001</formula>
      <formula>0.01</formula>
    </cfRule>
    <cfRule type="cellIs" dxfId="4649" priority="57" operator="between">
      <formula>0</formula>
      <formula>0.001</formula>
    </cfRule>
    <cfRule type="cellIs" dxfId="4648" priority="58" operator="between">
      <formula>0.01</formula>
      <formula>0.1</formula>
    </cfRule>
  </conditionalFormatting>
  <conditionalFormatting sqref="C53:C56 E53:E56">
    <cfRule type="cellIs" dxfId="4647" priority="47" operator="greaterThanOrEqual">
      <formula>10</formula>
    </cfRule>
    <cfRule type="cellIs" dxfId="4646" priority="48" operator="between">
      <formula>1</formula>
      <formula>10</formula>
    </cfRule>
    <cfRule type="cellIs" dxfId="4645" priority="49" operator="between">
      <formula>0.1</formula>
      <formula>1</formula>
    </cfRule>
    <cfRule type="cellIs" dxfId="4644" priority="50" operator="between">
      <formula>0.001</formula>
      <formula>0.01</formula>
    </cfRule>
    <cfRule type="cellIs" dxfId="4643" priority="51" operator="between">
      <formula>0</formula>
      <formula>0.001</formula>
    </cfRule>
    <cfRule type="cellIs" dxfId="4642" priority="52" operator="between">
      <formula>0.01</formula>
      <formula>0.1</formula>
    </cfRule>
  </conditionalFormatting>
  <conditionalFormatting sqref="D53:D56 F53:F56">
    <cfRule type="cellIs" dxfId="4641" priority="41" operator="greaterThanOrEqual">
      <formula>10</formula>
    </cfRule>
    <cfRule type="cellIs" dxfId="4640" priority="42" operator="between">
      <formula>1</formula>
      <formula>10</formula>
    </cfRule>
    <cfRule type="cellIs" dxfId="4639" priority="43" operator="between">
      <formula>0.1</formula>
      <formula>1</formula>
    </cfRule>
    <cfRule type="cellIs" dxfId="4638" priority="44" operator="between">
      <formula>0.001</formula>
      <formula>0.01</formula>
    </cfRule>
    <cfRule type="cellIs" dxfId="4637" priority="45" operator="between">
      <formula>0</formula>
      <formula>0.001</formula>
    </cfRule>
    <cfRule type="cellIs" dxfId="4636" priority="46" operator="between">
      <formula>0.01</formula>
      <formula>0.1</formula>
    </cfRule>
  </conditionalFormatting>
  <conditionalFormatting sqref="C52:D52">
    <cfRule type="cellIs" dxfId="4635" priority="35" operator="greaterThanOrEqual">
      <formula>10</formula>
    </cfRule>
    <cfRule type="cellIs" dxfId="4634" priority="36" operator="between">
      <formula>1</formula>
      <formula>10</formula>
    </cfRule>
    <cfRule type="cellIs" dxfId="4633" priority="37" operator="between">
      <formula>0.1</formula>
      <formula>1</formula>
    </cfRule>
    <cfRule type="cellIs" dxfId="4632" priority="38" operator="between">
      <formula>0.001</formula>
      <formula>0.01</formula>
    </cfRule>
    <cfRule type="cellIs" dxfId="4631" priority="39" operator="between">
      <formula>0</formula>
      <formula>0.001</formula>
    </cfRule>
    <cfRule type="cellIs" dxfId="4630" priority="40" operator="between">
      <formula>0.01</formula>
      <formula>0.1</formula>
    </cfRule>
  </conditionalFormatting>
  <conditionalFormatting sqref="C48:D51">
    <cfRule type="cellIs" dxfId="4629" priority="29" operator="greaterThanOrEqual">
      <formula>10</formula>
    </cfRule>
    <cfRule type="cellIs" dxfId="4628" priority="30" operator="between">
      <formula>1</formula>
      <formula>10</formula>
    </cfRule>
    <cfRule type="cellIs" dxfId="4627" priority="31" operator="between">
      <formula>0.1</formula>
      <formula>1</formula>
    </cfRule>
    <cfRule type="cellIs" dxfId="4626" priority="32" operator="between">
      <formula>0.001</formula>
      <formula>0.01</formula>
    </cfRule>
    <cfRule type="cellIs" dxfId="4625" priority="33" operator="between">
      <formula>0</formula>
      <formula>0.001</formula>
    </cfRule>
    <cfRule type="cellIs" dxfId="4624" priority="34" operator="between">
      <formula>0.01</formula>
      <formula>0.1</formula>
    </cfRule>
  </conditionalFormatting>
  <conditionalFormatting sqref="C48:D51">
    <cfRule type="cellIs" dxfId="4623" priority="28" operator="equal">
      <formula>0</formula>
    </cfRule>
  </conditionalFormatting>
  <conditionalFormatting sqref="C53:D56">
    <cfRule type="cellIs" dxfId="4622" priority="22" operator="greaterThanOrEqual">
      <formula>10</formula>
    </cfRule>
    <cfRule type="cellIs" dxfId="4621" priority="23" operator="between">
      <formula>1</formula>
      <formula>10</formula>
    </cfRule>
    <cfRule type="cellIs" dxfId="4620" priority="24" operator="between">
      <formula>0.1</formula>
      <formula>1</formula>
    </cfRule>
    <cfRule type="cellIs" dxfId="4619" priority="25" operator="between">
      <formula>0.001</formula>
      <formula>0.01</formula>
    </cfRule>
    <cfRule type="cellIs" dxfId="4618" priority="26" operator="between">
      <formula>0</formula>
      <formula>0.001</formula>
    </cfRule>
    <cfRule type="cellIs" dxfId="4617" priority="27" operator="between">
      <formula>0.01</formula>
      <formula>0.1</formula>
    </cfRule>
  </conditionalFormatting>
  <conditionalFormatting sqref="C53:D56">
    <cfRule type="cellIs" dxfId="4616" priority="21" operator="equal">
      <formula>0</formula>
    </cfRule>
  </conditionalFormatting>
  <conditionalFormatting sqref="C52:F52">
    <cfRule type="cellIs" dxfId="4615" priority="15" operator="greaterThanOrEqual">
      <formula>10</formula>
    </cfRule>
    <cfRule type="cellIs" dxfId="4614" priority="16" operator="between">
      <formula>1</formula>
      <formula>10</formula>
    </cfRule>
    <cfRule type="cellIs" dxfId="4613" priority="17" operator="between">
      <formula>0.1</formula>
      <formula>1</formula>
    </cfRule>
    <cfRule type="cellIs" dxfId="4612" priority="18" operator="between">
      <formula>0.001</formula>
      <formula>0.01</formula>
    </cfRule>
    <cfRule type="cellIs" dxfId="4611" priority="19" operator="between">
      <formula>0</formula>
      <formula>0.001</formula>
    </cfRule>
    <cfRule type="cellIs" dxfId="4610" priority="20" operator="between">
      <formula>0.01</formula>
      <formula>0.1</formula>
    </cfRule>
  </conditionalFormatting>
  <conditionalFormatting sqref="C48:F51">
    <cfRule type="cellIs" dxfId="4609" priority="9" operator="greaterThanOrEqual">
      <formula>10</formula>
    </cfRule>
    <cfRule type="cellIs" dxfId="4608" priority="10" operator="between">
      <formula>1</formula>
      <formula>10</formula>
    </cfRule>
    <cfRule type="cellIs" dxfId="4607" priority="11" operator="between">
      <formula>0.1</formula>
      <formula>1</formula>
    </cfRule>
    <cfRule type="cellIs" dxfId="4606" priority="12" operator="between">
      <formula>0.001</formula>
      <formula>0.01</formula>
    </cfRule>
    <cfRule type="cellIs" dxfId="4605" priority="13" operator="between">
      <formula>0</formula>
      <formula>0.001</formula>
    </cfRule>
    <cfRule type="cellIs" dxfId="4604" priority="14" operator="between">
      <formula>0.01</formula>
      <formula>0.1</formula>
    </cfRule>
  </conditionalFormatting>
  <conditionalFormatting sqref="C48:F51">
    <cfRule type="cellIs" dxfId="4603" priority="8" operator="equal">
      <formula>0</formula>
    </cfRule>
  </conditionalFormatting>
  <conditionalFormatting sqref="C53:F56">
    <cfRule type="cellIs" dxfId="4602" priority="2" operator="greaterThanOrEqual">
      <formula>10</formula>
    </cfRule>
    <cfRule type="cellIs" dxfId="4601" priority="3" operator="between">
      <formula>1</formula>
      <formula>10</formula>
    </cfRule>
    <cfRule type="cellIs" dxfId="4600" priority="4" operator="between">
      <formula>0.1</formula>
      <formula>1</formula>
    </cfRule>
    <cfRule type="cellIs" dxfId="4599" priority="5" operator="between">
      <formula>0.001</formula>
      <formula>0.01</formula>
    </cfRule>
    <cfRule type="cellIs" dxfId="4598" priority="6" operator="between">
      <formula>0</formula>
      <formula>0.001</formula>
    </cfRule>
    <cfRule type="cellIs" dxfId="4597" priority="7" operator="between">
      <formula>0.01</formula>
      <formula>0.1</formula>
    </cfRule>
  </conditionalFormatting>
  <conditionalFormatting sqref="C53:F56">
    <cfRule type="cellIs" dxfId="4596" priority="1" operator="equal">
      <formula>0</formula>
    </cfRule>
  </conditionalFormatting>
  <dataValidations count="3">
    <dataValidation type="list" allowBlank="1" showInputMessage="1" showErrorMessage="1" sqref="C20 C29" xr:uid="{00000000-0002-0000-0500-000000000000}">
      <formula1>lk_MixRPE</formula1>
      <formula2>0</formula2>
    </dataValidation>
    <dataValidation type="list" allowBlank="1" showInputMessage="1" showErrorMessage="1" sqref="C18 C27" xr:uid="{00000000-0002-0000-0500-000002000000}">
      <formula1>lk_MixPPEHands</formula1>
      <formula2>0</formula2>
    </dataValidation>
    <dataValidation type="list" allowBlank="1" showInputMessage="1" showErrorMessage="1" sqref="C19 C28" xr:uid="{00000000-0002-0000-0500-000004000000}">
      <formula1>lk_PPEGranule</formula1>
      <formula2>0</formula2>
    </dataValidation>
  </dataValidations>
  <pageMargins left="0.70833333333333304" right="0.70833333333333304" top="0.74791666666666701" bottom="0.74791666666666701" header="0.51180555555555496" footer="0.51180555555555496"/>
  <pageSetup paperSize="9" scale="35" firstPageNumber="0" orientation="portrait" horizontalDpi="300" verticalDpi="300" r:id="rId1"/>
  <headerFooter>
    <oddFooter>&amp;C&amp;1#&amp;"Arial"&amp;10&amp;K000000---Internal Use---</oddFooter>
  </headerFooter>
  <rowBreaks count="1" manualBreakCount="1">
    <brk id="39" max="16383" man="1"/>
  </rowBreaks>
  <ignoredErrors>
    <ignoredError sqref="E48:J52 D51:D56 E54:J56 E53:F53 H53 J53" 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225283" r:id="rId4" name="Button 3">
              <controlPr defaultSize="0" print="0" autoFill="0" autoPict="0" macro="[0]!Tabelle24.Default_PPE">
                <anchor moveWithCells="1" sizeWithCells="1">
                  <from>
                    <xdr:col>1</xdr:col>
                    <xdr:colOff>38100</xdr:colOff>
                    <xdr:row>10</xdr:row>
                    <xdr:rowOff>66675</xdr:rowOff>
                  </from>
                  <to>
                    <xdr:col>1</xdr:col>
                    <xdr:colOff>1409700</xdr:colOff>
                    <xdr:row>10</xdr:row>
                    <xdr:rowOff>400050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247" id="{EFFFFCB2-E5FB-4CFF-BE5F-53A8B24452C5}">
            <xm:f>'Data entry'!$D$4&lt;&gt;"Granules, fine granules"</xm:f>
            <x14:dxf>
              <font>
                <color theme="0" tint="-0.34998626667073579"/>
              </font>
              <fill>
                <patternFill patternType="lightUp"/>
              </fill>
            </x14:dxf>
          </x14:cfRule>
          <xm:sqref>A37:L39 A41:L101 A40:K40 A36:K36 A23:L35 A2:L21 A22:D22 F22:L22</xm:sqref>
        </x14:conditionalFormatting>
      </x14:conditionalFormatting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A29EB6-D54E-480A-9720-EEDBD2A73EBF}">
  <sheetPr codeName="Tabelle18"/>
  <dimension ref="A1:AMJ333"/>
  <sheetViews>
    <sheetView topLeftCell="B1" workbookViewId="0">
      <selection activeCell="O15" sqref="O15"/>
    </sheetView>
  </sheetViews>
  <sheetFormatPr defaultColWidth="45.28515625" defaultRowHeight="15"/>
  <cols>
    <col min="1" max="1" width="106.140625" style="59" customWidth="1"/>
    <col min="2" max="2" width="12.42578125" style="59" customWidth="1"/>
    <col min="3" max="3" width="16" style="59" customWidth="1"/>
    <col min="4" max="4" width="21" style="59" bestFit="1" customWidth="1"/>
    <col min="5" max="5" width="18.7109375" style="59" customWidth="1"/>
    <col min="6" max="6" width="18.7109375" style="59" bestFit="1" customWidth="1"/>
    <col min="7" max="9" width="12.7109375" style="392" customWidth="1"/>
    <col min="10" max="10" width="12.7109375" style="394" customWidth="1"/>
    <col min="11" max="13" width="12.7109375" style="392" customWidth="1"/>
    <col min="14" max="14" width="12.7109375" style="394" customWidth="1"/>
    <col min="15" max="17" width="12.7109375" style="392" customWidth="1"/>
    <col min="18" max="18" width="12.7109375" style="394" customWidth="1"/>
    <col min="19" max="21" width="12.7109375" style="392" customWidth="1"/>
    <col min="22" max="22" width="12.7109375" style="394" customWidth="1"/>
    <col min="23" max="1024" width="45.28515625" style="59"/>
  </cols>
  <sheetData>
    <row r="1" spans="1:1024">
      <c r="A1" s="40">
        <v>1</v>
      </c>
      <c r="B1" s="40">
        <v>2</v>
      </c>
      <c r="C1" s="40">
        <v>3</v>
      </c>
      <c r="D1" s="40">
        <v>4</v>
      </c>
      <c r="E1" s="40">
        <v>5</v>
      </c>
      <c r="F1" s="40">
        <v>6</v>
      </c>
      <c r="G1" s="391">
        <v>7</v>
      </c>
      <c r="H1" s="391">
        <v>8</v>
      </c>
      <c r="I1" s="391">
        <v>9</v>
      </c>
      <c r="J1" s="391">
        <v>10</v>
      </c>
      <c r="K1" s="391">
        <v>11</v>
      </c>
      <c r="L1" s="391">
        <v>12</v>
      </c>
      <c r="M1" s="391">
        <v>13</v>
      </c>
      <c r="N1" s="391">
        <v>14</v>
      </c>
      <c r="O1" s="391">
        <v>15</v>
      </c>
      <c r="P1" s="391">
        <v>16</v>
      </c>
      <c r="Q1" s="391">
        <v>17</v>
      </c>
      <c r="R1" s="391">
        <v>18</v>
      </c>
      <c r="S1" s="391">
        <v>19</v>
      </c>
      <c r="T1" s="391">
        <v>20</v>
      </c>
      <c r="U1" s="391">
        <v>21</v>
      </c>
      <c r="V1" s="391">
        <v>22</v>
      </c>
    </row>
    <row r="2" spans="1:1024" s="397" customFormat="1" ht="75" customHeight="1">
      <c r="A2" s="396" t="s">
        <v>477</v>
      </c>
      <c r="B2" s="125" t="s">
        <v>478</v>
      </c>
      <c r="C2" s="125" t="s">
        <v>311</v>
      </c>
      <c r="D2" s="125" t="s">
        <v>331</v>
      </c>
      <c r="E2" s="125" t="s">
        <v>332</v>
      </c>
      <c r="F2" s="125" t="s">
        <v>479</v>
      </c>
      <c r="G2" s="395" t="s">
        <v>480</v>
      </c>
      <c r="H2" s="395" t="s">
        <v>481</v>
      </c>
      <c r="I2" s="395" t="s">
        <v>482</v>
      </c>
      <c r="J2" s="395" t="s">
        <v>483</v>
      </c>
      <c r="K2" s="395" t="s">
        <v>484</v>
      </c>
      <c r="L2" s="395" t="s">
        <v>485</v>
      </c>
      <c r="M2" s="395" t="s">
        <v>486</v>
      </c>
      <c r="N2" s="395" t="s">
        <v>487</v>
      </c>
      <c r="O2" s="395" t="s">
        <v>488</v>
      </c>
      <c r="P2" s="395" t="s">
        <v>489</v>
      </c>
      <c r="Q2" s="395" t="s">
        <v>490</v>
      </c>
      <c r="R2" s="395" t="s">
        <v>491</v>
      </c>
      <c r="S2" s="395" t="s">
        <v>492</v>
      </c>
      <c r="T2" s="395" t="s">
        <v>493</v>
      </c>
      <c r="U2" s="395" t="s">
        <v>494</v>
      </c>
      <c r="V2" s="395" t="s">
        <v>495</v>
      </c>
      <c r="W2" s="396"/>
      <c r="X2" s="396"/>
      <c r="Y2" s="396"/>
      <c r="Z2" s="396"/>
      <c r="AA2" s="396"/>
      <c r="AB2" s="396"/>
      <c r="AC2" s="396"/>
      <c r="AD2" s="396"/>
      <c r="AE2" s="396"/>
      <c r="AF2" s="396"/>
      <c r="AG2" s="396"/>
      <c r="AH2" s="396"/>
      <c r="AI2" s="396"/>
      <c r="AJ2" s="396"/>
      <c r="AK2" s="396"/>
      <c r="AL2" s="396"/>
      <c r="AM2" s="396"/>
      <c r="AN2" s="396"/>
      <c r="AO2" s="396"/>
      <c r="AP2" s="396"/>
      <c r="AQ2" s="396"/>
      <c r="AR2" s="396"/>
      <c r="AS2" s="396"/>
      <c r="AT2" s="396"/>
      <c r="AU2" s="396"/>
      <c r="AV2" s="396"/>
      <c r="AW2" s="396"/>
      <c r="AX2" s="396"/>
      <c r="AY2" s="396"/>
      <c r="AZ2" s="396"/>
      <c r="BA2" s="396"/>
      <c r="BB2" s="396"/>
      <c r="BC2" s="396"/>
      <c r="BD2" s="396"/>
      <c r="BE2" s="396"/>
      <c r="BF2" s="396"/>
      <c r="BG2" s="396"/>
      <c r="BH2" s="396"/>
      <c r="BI2" s="396"/>
      <c r="BJ2" s="396"/>
      <c r="BK2" s="396"/>
      <c r="BL2" s="396"/>
      <c r="BM2" s="396"/>
      <c r="BN2" s="396"/>
      <c r="BO2" s="396"/>
      <c r="BP2" s="396"/>
      <c r="BQ2" s="396"/>
      <c r="BR2" s="396"/>
      <c r="BS2" s="396"/>
      <c r="BT2" s="396"/>
      <c r="BU2" s="396"/>
      <c r="BV2" s="396"/>
      <c r="BW2" s="396"/>
      <c r="BX2" s="396"/>
      <c r="BY2" s="396"/>
      <c r="BZ2" s="396"/>
      <c r="CA2" s="396"/>
      <c r="CB2" s="396"/>
      <c r="CC2" s="396"/>
      <c r="CD2" s="396"/>
      <c r="CE2" s="396"/>
      <c r="CF2" s="396"/>
      <c r="CG2" s="396"/>
      <c r="CH2" s="396"/>
      <c r="CI2" s="396"/>
      <c r="CJ2" s="396"/>
      <c r="CK2" s="396"/>
      <c r="CL2" s="396"/>
      <c r="CM2" s="396"/>
      <c r="CN2" s="396"/>
      <c r="CO2" s="396"/>
      <c r="CP2" s="396"/>
      <c r="CQ2" s="396"/>
      <c r="CR2" s="396"/>
      <c r="CS2" s="396"/>
      <c r="CT2" s="396"/>
      <c r="CU2" s="396"/>
      <c r="CV2" s="396"/>
      <c r="CW2" s="396"/>
      <c r="CX2" s="396"/>
      <c r="CY2" s="396"/>
      <c r="CZ2" s="396"/>
      <c r="DA2" s="396"/>
      <c r="DB2" s="396"/>
      <c r="DC2" s="396"/>
      <c r="DD2" s="396"/>
      <c r="DE2" s="396"/>
      <c r="DF2" s="396"/>
      <c r="DG2" s="396"/>
      <c r="DH2" s="396"/>
      <c r="DI2" s="396"/>
      <c r="DJ2" s="396"/>
      <c r="DK2" s="396"/>
      <c r="DL2" s="396"/>
      <c r="DM2" s="396"/>
      <c r="DN2" s="396"/>
      <c r="DO2" s="396"/>
      <c r="DP2" s="396"/>
      <c r="DQ2" s="396"/>
      <c r="DR2" s="396"/>
      <c r="DS2" s="396"/>
      <c r="DT2" s="396"/>
      <c r="DU2" s="396"/>
      <c r="DV2" s="396"/>
      <c r="DW2" s="396"/>
      <c r="DX2" s="396"/>
      <c r="DY2" s="396"/>
      <c r="DZ2" s="396"/>
      <c r="EA2" s="396"/>
      <c r="EB2" s="396"/>
      <c r="EC2" s="396"/>
      <c r="ED2" s="396"/>
      <c r="EE2" s="396"/>
      <c r="EF2" s="396"/>
      <c r="EG2" s="396"/>
      <c r="EH2" s="396"/>
      <c r="EI2" s="396"/>
      <c r="EJ2" s="396"/>
      <c r="EK2" s="396"/>
      <c r="EL2" s="396"/>
      <c r="EM2" s="396"/>
      <c r="EN2" s="396"/>
      <c r="EO2" s="396"/>
      <c r="EP2" s="396"/>
      <c r="EQ2" s="396"/>
      <c r="ER2" s="396"/>
      <c r="ES2" s="396"/>
      <c r="ET2" s="396"/>
      <c r="EU2" s="396"/>
      <c r="EV2" s="396"/>
      <c r="EW2" s="396"/>
      <c r="EX2" s="396"/>
      <c r="EY2" s="396"/>
      <c r="EZ2" s="396"/>
      <c r="FA2" s="396"/>
      <c r="FB2" s="396"/>
      <c r="FC2" s="396"/>
      <c r="FD2" s="396"/>
      <c r="FE2" s="396"/>
      <c r="FF2" s="396"/>
      <c r="FG2" s="396"/>
      <c r="FH2" s="396"/>
      <c r="FI2" s="396"/>
      <c r="FJ2" s="396"/>
      <c r="FK2" s="396"/>
      <c r="FL2" s="396"/>
      <c r="FM2" s="396"/>
      <c r="FN2" s="396"/>
      <c r="FO2" s="396"/>
      <c r="FP2" s="396"/>
      <c r="FQ2" s="396"/>
      <c r="FR2" s="396"/>
      <c r="FS2" s="396"/>
      <c r="FT2" s="396"/>
      <c r="FU2" s="396"/>
      <c r="FV2" s="396"/>
      <c r="FW2" s="396"/>
      <c r="FX2" s="396"/>
      <c r="FY2" s="396"/>
      <c r="FZ2" s="396"/>
      <c r="GA2" s="396"/>
      <c r="GB2" s="396"/>
      <c r="GC2" s="396"/>
      <c r="GD2" s="396"/>
      <c r="GE2" s="396"/>
      <c r="GF2" s="396"/>
      <c r="GG2" s="396"/>
      <c r="GH2" s="396"/>
      <c r="GI2" s="396"/>
      <c r="GJ2" s="396"/>
      <c r="GK2" s="396"/>
      <c r="GL2" s="396"/>
      <c r="GM2" s="396"/>
      <c r="GN2" s="396"/>
      <c r="GO2" s="396"/>
      <c r="GP2" s="396"/>
      <c r="GQ2" s="396"/>
      <c r="GR2" s="396"/>
      <c r="GS2" s="396"/>
      <c r="GT2" s="396"/>
      <c r="GU2" s="396"/>
      <c r="GV2" s="396"/>
      <c r="GW2" s="396"/>
      <c r="GX2" s="396"/>
      <c r="GY2" s="396"/>
      <c r="GZ2" s="396"/>
      <c r="HA2" s="396"/>
      <c r="HB2" s="396"/>
      <c r="HC2" s="396"/>
      <c r="HD2" s="396"/>
      <c r="HE2" s="396"/>
      <c r="HF2" s="396"/>
      <c r="HG2" s="396"/>
      <c r="HH2" s="396"/>
      <c r="HI2" s="396"/>
      <c r="HJ2" s="396"/>
      <c r="HK2" s="396"/>
      <c r="HL2" s="396"/>
      <c r="HM2" s="396"/>
      <c r="HN2" s="396"/>
      <c r="HO2" s="396"/>
      <c r="HP2" s="396"/>
      <c r="HQ2" s="396"/>
      <c r="HR2" s="396"/>
      <c r="HS2" s="396"/>
      <c r="HT2" s="396"/>
      <c r="HU2" s="396"/>
      <c r="HV2" s="396"/>
      <c r="HW2" s="396"/>
      <c r="HX2" s="396"/>
      <c r="HY2" s="396"/>
      <c r="HZ2" s="396"/>
      <c r="IA2" s="396"/>
      <c r="IB2" s="396"/>
      <c r="IC2" s="396"/>
      <c r="ID2" s="396"/>
      <c r="IE2" s="396"/>
      <c r="IF2" s="396"/>
      <c r="IG2" s="396"/>
      <c r="IH2" s="396"/>
      <c r="II2" s="396"/>
      <c r="IJ2" s="396"/>
      <c r="IK2" s="396"/>
      <c r="IL2" s="396"/>
      <c r="IM2" s="396"/>
      <c r="IN2" s="396"/>
      <c r="IO2" s="396"/>
      <c r="IP2" s="396"/>
      <c r="IQ2" s="396"/>
      <c r="IR2" s="396"/>
      <c r="IS2" s="396"/>
      <c r="IT2" s="396"/>
      <c r="IU2" s="396"/>
      <c r="IV2" s="396"/>
      <c r="IW2" s="396"/>
      <c r="IX2" s="396"/>
      <c r="IY2" s="396"/>
      <c r="IZ2" s="396"/>
      <c r="JA2" s="396"/>
      <c r="JB2" s="396"/>
      <c r="JC2" s="396"/>
      <c r="JD2" s="396"/>
      <c r="JE2" s="396"/>
      <c r="JF2" s="396"/>
      <c r="JG2" s="396"/>
      <c r="JH2" s="396"/>
      <c r="JI2" s="396"/>
      <c r="JJ2" s="396"/>
      <c r="JK2" s="396"/>
      <c r="JL2" s="396"/>
      <c r="JM2" s="396"/>
      <c r="JN2" s="396"/>
      <c r="JO2" s="396"/>
      <c r="JP2" s="396"/>
      <c r="JQ2" s="396"/>
      <c r="JR2" s="396"/>
      <c r="JS2" s="396"/>
      <c r="JT2" s="396"/>
      <c r="JU2" s="396"/>
      <c r="JV2" s="396"/>
      <c r="JW2" s="396"/>
      <c r="JX2" s="396"/>
      <c r="JY2" s="396"/>
      <c r="JZ2" s="396"/>
      <c r="KA2" s="396"/>
      <c r="KB2" s="396"/>
      <c r="KC2" s="396"/>
      <c r="KD2" s="396"/>
      <c r="KE2" s="396"/>
      <c r="KF2" s="396"/>
      <c r="KG2" s="396"/>
      <c r="KH2" s="396"/>
      <c r="KI2" s="396"/>
      <c r="KJ2" s="396"/>
      <c r="KK2" s="396"/>
      <c r="KL2" s="396"/>
      <c r="KM2" s="396"/>
      <c r="KN2" s="396"/>
      <c r="KO2" s="396"/>
      <c r="KP2" s="396"/>
      <c r="KQ2" s="396"/>
      <c r="KR2" s="396"/>
      <c r="KS2" s="396"/>
      <c r="KT2" s="396"/>
      <c r="KU2" s="396"/>
      <c r="KV2" s="396"/>
      <c r="KW2" s="396"/>
      <c r="KX2" s="396"/>
      <c r="KY2" s="396"/>
      <c r="KZ2" s="396"/>
      <c r="LA2" s="396"/>
      <c r="LB2" s="396"/>
      <c r="LC2" s="396"/>
      <c r="LD2" s="396"/>
      <c r="LE2" s="396"/>
      <c r="LF2" s="396"/>
      <c r="LG2" s="396"/>
      <c r="LH2" s="396"/>
      <c r="LI2" s="396"/>
      <c r="LJ2" s="396"/>
      <c r="LK2" s="396"/>
      <c r="LL2" s="396"/>
      <c r="LM2" s="396"/>
      <c r="LN2" s="396"/>
      <c r="LO2" s="396"/>
      <c r="LP2" s="396"/>
      <c r="LQ2" s="396"/>
      <c r="LR2" s="396"/>
      <c r="LS2" s="396"/>
      <c r="LT2" s="396"/>
      <c r="LU2" s="396"/>
      <c r="LV2" s="396"/>
      <c r="LW2" s="396"/>
      <c r="LX2" s="396"/>
      <c r="LY2" s="396"/>
      <c r="LZ2" s="396"/>
      <c r="MA2" s="396"/>
      <c r="MB2" s="396"/>
      <c r="MC2" s="396"/>
      <c r="MD2" s="396"/>
      <c r="ME2" s="396"/>
      <c r="MF2" s="396"/>
      <c r="MG2" s="396"/>
      <c r="MH2" s="396"/>
      <c r="MI2" s="396"/>
      <c r="MJ2" s="396"/>
      <c r="MK2" s="396"/>
      <c r="ML2" s="396"/>
      <c r="MM2" s="396"/>
      <c r="MN2" s="396"/>
      <c r="MO2" s="396"/>
      <c r="MP2" s="396"/>
      <c r="MQ2" s="396"/>
      <c r="MR2" s="396"/>
      <c r="MS2" s="396"/>
      <c r="MT2" s="396"/>
      <c r="MU2" s="396"/>
      <c r="MV2" s="396"/>
      <c r="MW2" s="396"/>
      <c r="MX2" s="396"/>
      <c r="MY2" s="396"/>
      <c r="MZ2" s="396"/>
      <c r="NA2" s="396"/>
      <c r="NB2" s="396"/>
      <c r="NC2" s="396"/>
      <c r="ND2" s="396"/>
      <c r="NE2" s="396"/>
      <c r="NF2" s="396"/>
      <c r="NG2" s="396"/>
      <c r="NH2" s="396"/>
      <c r="NI2" s="396"/>
      <c r="NJ2" s="396"/>
      <c r="NK2" s="396"/>
      <c r="NL2" s="396"/>
      <c r="NM2" s="396"/>
      <c r="NN2" s="396"/>
      <c r="NO2" s="396"/>
      <c r="NP2" s="396"/>
      <c r="NQ2" s="396"/>
      <c r="NR2" s="396"/>
      <c r="NS2" s="396"/>
      <c r="NT2" s="396"/>
      <c r="NU2" s="396"/>
      <c r="NV2" s="396"/>
      <c r="NW2" s="396"/>
      <c r="NX2" s="396"/>
      <c r="NY2" s="396"/>
      <c r="NZ2" s="396"/>
      <c r="OA2" s="396"/>
      <c r="OB2" s="396"/>
      <c r="OC2" s="396"/>
      <c r="OD2" s="396"/>
      <c r="OE2" s="396"/>
      <c r="OF2" s="396"/>
      <c r="OG2" s="396"/>
      <c r="OH2" s="396"/>
      <c r="OI2" s="396"/>
      <c r="OJ2" s="396"/>
      <c r="OK2" s="396"/>
      <c r="OL2" s="396"/>
      <c r="OM2" s="396"/>
      <c r="ON2" s="396"/>
      <c r="OO2" s="396"/>
      <c r="OP2" s="396"/>
      <c r="OQ2" s="396"/>
      <c r="OR2" s="396"/>
      <c r="OS2" s="396"/>
      <c r="OT2" s="396"/>
      <c r="OU2" s="396"/>
      <c r="OV2" s="396"/>
      <c r="OW2" s="396"/>
      <c r="OX2" s="396"/>
      <c r="OY2" s="396"/>
      <c r="OZ2" s="396"/>
      <c r="PA2" s="396"/>
      <c r="PB2" s="396"/>
      <c r="PC2" s="396"/>
      <c r="PD2" s="396"/>
      <c r="PE2" s="396"/>
      <c r="PF2" s="396"/>
      <c r="PG2" s="396"/>
      <c r="PH2" s="396"/>
      <c r="PI2" s="396"/>
      <c r="PJ2" s="396"/>
      <c r="PK2" s="396"/>
      <c r="PL2" s="396"/>
      <c r="PM2" s="396"/>
      <c r="PN2" s="396"/>
      <c r="PO2" s="396"/>
      <c r="PP2" s="396"/>
      <c r="PQ2" s="396"/>
      <c r="PR2" s="396"/>
      <c r="PS2" s="396"/>
      <c r="PT2" s="396"/>
      <c r="PU2" s="396"/>
      <c r="PV2" s="396"/>
      <c r="PW2" s="396"/>
      <c r="PX2" s="396"/>
      <c r="PY2" s="396"/>
      <c r="PZ2" s="396"/>
      <c r="QA2" s="396"/>
      <c r="QB2" s="396"/>
      <c r="QC2" s="396"/>
      <c r="QD2" s="396"/>
      <c r="QE2" s="396"/>
      <c r="QF2" s="396"/>
      <c r="QG2" s="396"/>
      <c r="QH2" s="396"/>
      <c r="QI2" s="396"/>
      <c r="QJ2" s="396"/>
      <c r="QK2" s="396"/>
      <c r="QL2" s="396"/>
      <c r="QM2" s="396"/>
      <c r="QN2" s="396"/>
      <c r="QO2" s="396"/>
      <c r="QP2" s="396"/>
      <c r="QQ2" s="396"/>
      <c r="QR2" s="396"/>
      <c r="QS2" s="396"/>
      <c r="QT2" s="396"/>
      <c r="QU2" s="396"/>
      <c r="QV2" s="396"/>
      <c r="QW2" s="396"/>
      <c r="QX2" s="396"/>
      <c r="QY2" s="396"/>
      <c r="QZ2" s="396"/>
      <c r="RA2" s="396"/>
      <c r="RB2" s="396"/>
      <c r="RC2" s="396"/>
      <c r="RD2" s="396"/>
      <c r="RE2" s="396"/>
      <c r="RF2" s="396"/>
      <c r="RG2" s="396"/>
      <c r="RH2" s="396"/>
      <c r="RI2" s="396"/>
      <c r="RJ2" s="396"/>
      <c r="RK2" s="396"/>
      <c r="RL2" s="396"/>
      <c r="RM2" s="396"/>
      <c r="RN2" s="396"/>
      <c r="RO2" s="396"/>
      <c r="RP2" s="396"/>
      <c r="RQ2" s="396"/>
      <c r="RR2" s="396"/>
      <c r="RS2" s="396"/>
      <c r="RT2" s="396"/>
      <c r="RU2" s="396"/>
      <c r="RV2" s="396"/>
      <c r="RW2" s="396"/>
      <c r="RX2" s="396"/>
      <c r="RY2" s="396"/>
      <c r="RZ2" s="396"/>
      <c r="SA2" s="396"/>
      <c r="SB2" s="396"/>
      <c r="SC2" s="396"/>
      <c r="SD2" s="396"/>
      <c r="SE2" s="396"/>
      <c r="SF2" s="396"/>
      <c r="SG2" s="396"/>
      <c r="SH2" s="396"/>
      <c r="SI2" s="396"/>
      <c r="SJ2" s="396"/>
      <c r="SK2" s="396"/>
      <c r="SL2" s="396"/>
      <c r="SM2" s="396"/>
      <c r="SN2" s="396"/>
      <c r="SO2" s="396"/>
      <c r="SP2" s="396"/>
      <c r="SQ2" s="396"/>
      <c r="SR2" s="396"/>
      <c r="SS2" s="396"/>
      <c r="ST2" s="396"/>
      <c r="SU2" s="396"/>
      <c r="SV2" s="396"/>
      <c r="SW2" s="396"/>
      <c r="SX2" s="396"/>
      <c r="SY2" s="396"/>
      <c r="SZ2" s="396"/>
      <c r="TA2" s="396"/>
      <c r="TB2" s="396"/>
      <c r="TC2" s="396"/>
      <c r="TD2" s="396"/>
      <c r="TE2" s="396"/>
      <c r="TF2" s="396"/>
      <c r="TG2" s="396"/>
      <c r="TH2" s="396"/>
      <c r="TI2" s="396"/>
      <c r="TJ2" s="396"/>
      <c r="TK2" s="396"/>
      <c r="TL2" s="396"/>
      <c r="TM2" s="396"/>
      <c r="TN2" s="396"/>
      <c r="TO2" s="396"/>
      <c r="TP2" s="396"/>
      <c r="TQ2" s="396"/>
      <c r="TR2" s="396"/>
      <c r="TS2" s="396"/>
      <c r="TT2" s="396"/>
      <c r="TU2" s="396"/>
      <c r="TV2" s="396"/>
      <c r="TW2" s="396"/>
      <c r="TX2" s="396"/>
      <c r="TY2" s="396"/>
      <c r="TZ2" s="396"/>
      <c r="UA2" s="396"/>
      <c r="UB2" s="396"/>
      <c r="UC2" s="396"/>
      <c r="UD2" s="396"/>
      <c r="UE2" s="396"/>
      <c r="UF2" s="396"/>
      <c r="UG2" s="396"/>
      <c r="UH2" s="396"/>
      <c r="UI2" s="396"/>
      <c r="UJ2" s="396"/>
      <c r="UK2" s="396"/>
      <c r="UL2" s="396"/>
      <c r="UM2" s="396"/>
      <c r="UN2" s="396"/>
      <c r="UO2" s="396"/>
      <c r="UP2" s="396"/>
      <c r="UQ2" s="396"/>
      <c r="UR2" s="396"/>
      <c r="US2" s="396"/>
      <c r="UT2" s="396"/>
      <c r="UU2" s="396"/>
      <c r="UV2" s="396"/>
      <c r="UW2" s="396"/>
      <c r="UX2" s="396"/>
      <c r="UY2" s="396"/>
      <c r="UZ2" s="396"/>
      <c r="VA2" s="396"/>
      <c r="VB2" s="396"/>
      <c r="VC2" s="396"/>
      <c r="VD2" s="396"/>
      <c r="VE2" s="396"/>
      <c r="VF2" s="396"/>
      <c r="VG2" s="396"/>
      <c r="VH2" s="396"/>
      <c r="VI2" s="396"/>
      <c r="VJ2" s="396"/>
      <c r="VK2" s="396"/>
      <c r="VL2" s="396"/>
      <c r="VM2" s="396"/>
      <c r="VN2" s="396"/>
      <c r="VO2" s="396"/>
      <c r="VP2" s="396"/>
      <c r="VQ2" s="396"/>
      <c r="VR2" s="396"/>
      <c r="VS2" s="396"/>
      <c r="VT2" s="396"/>
      <c r="VU2" s="396"/>
      <c r="VV2" s="396"/>
      <c r="VW2" s="396"/>
      <c r="VX2" s="396"/>
      <c r="VY2" s="396"/>
      <c r="VZ2" s="396"/>
      <c r="WA2" s="396"/>
      <c r="WB2" s="396"/>
      <c r="WC2" s="396"/>
      <c r="WD2" s="396"/>
      <c r="WE2" s="396"/>
      <c r="WF2" s="396"/>
      <c r="WG2" s="396"/>
      <c r="WH2" s="396"/>
      <c r="WI2" s="396"/>
      <c r="WJ2" s="396"/>
      <c r="WK2" s="396"/>
      <c r="WL2" s="396"/>
      <c r="WM2" s="396"/>
      <c r="WN2" s="396"/>
      <c r="WO2" s="396"/>
      <c r="WP2" s="396"/>
      <c r="WQ2" s="396"/>
      <c r="WR2" s="396"/>
      <c r="WS2" s="396"/>
      <c r="WT2" s="396"/>
      <c r="WU2" s="396"/>
      <c r="WV2" s="396"/>
      <c r="WW2" s="396"/>
      <c r="WX2" s="396"/>
      <c r="WY2" s="396"/>
      <c r="WZ2" s="396"/>
      <c r="XA2" s="396"/>
      <c r="XB2" s="396"/>
      <c r="XC2" s="396"/>
      <c r="XD2" s="396"/>
      <c r="XE2" s="396"/>
      <c r="XF2" s="396"/>
      <c r="XG2" s="396"/>
      <c r="XH2" s="396"/>
      <c r="XI2" s="396"/>
      <c r="XJ2" s="396"/>
      <c r="XK2" s="396"/>
      <c r="XL2" s="396"/>
      <c r="XM2" s="396"/>
      <c r="XN2" s="396"/>
      <c r="XO2" s="396"/>
      <c r="XP2" s="396"/>
      <c r="XQ2" s="396"/>
      <c r="XR2" s="396"/>
      <c r="XS2" s="396"/>
      <c r="XT2" s="396"/>
      <c r="XU2" s="396"/>
      <c r="XV2" s="396"/>
      <c r="XW2" s="396"/>
      <c r="XX2" s="396"/>
      <c r="XY2" s="396"/>
      <c r="XZ2" s="396"/>
      <c r="YA2" s="396"/>
      <c r="YB2" s="396"/>
      <c r="YC2" s="396"/>
      <c r="YD2" s="396"/>
      <c r="YE2" s="396"/>
      <c r="YF2" s="396"/>
      <c r="YG2" s="396"/>
      <c r="YH2" s="396"/>
      <c r="YI2" s="396"/>
      <c r="YJ2" s="396"/>
      <c r="YK2" s="396"/>
      <c r="YL2" s="396"/>
      <c r="YM2" s="396"/>
      <c r="YN2" s="396"/>
      <c r="YO2" s="396"/>
      <c r="YP2" s="396"/>
      <c r="YQ2" s="396"/>
      <c r="YR2" s="396"/>
      <c r="YS2" s="396"/>
      <c r="YT2" s="396"/>
      <c r="YU2" s="396"/>
      <c r="YV2" s="396"/>
      <c r="YW2" s="396"/>
      <c r="YX2" s="396"/>
      <c r="YY2" s="396"/>
      <c r="YZ2" s="396"/>
      <c r="ZA2" s="396"/>
      <c r="ZB2" s="396"/>
      <c r="ZC2" s="396"/>
      <c r="ZD2" s="396"/>
      <c r="ZE2" s="396"/>
      <c r="ZF2" s="396"/>
      <c r="ZG2" s="396"/>
      <c r="ZH2" s="396"/>
      <c r="ZI2" s="396"/>
      <c r="ZJ2" s="396"/>
      <c r="ZK2" s="396"/>
      <c r="ZL2" s="396"/>
      <c r="ZM2" s="396"/>
      <c r="ZN2" s="396"/>
      <c r="ZO2" s="396"/>
      <c r="ZP2" s="396"/>
      <c r="ZQ2" s="396"/>
      <c r="ZR2" s="396"/>
      <c r="ZS2" s="396"/>
      <c r="ZT2" s="396"/>
      <c r="ZU2" s="396"/>
      <c r="ZV2" s="396"/>
      <c r="ZW2" s="396"/>
      <c r="ZX2" s="396"/>
      <c r="ZY2" s="396"/>
      <c r="ZZ2" s="396"/>
      <c r="AAA2" s="396"/>
      <c r="AAB2" s="396"/>
      <c r="AAC2" s="396"/>
      <c r="AAD2" s="396"/>
      <c r="AAE2" s="396"/>
      <c r="AAF2" s="396"/>
      <c r="AAG2" s="396"/>
      <c r="AAH2" s="396"/>
      <c r="AAI2" s="396"/>
      <c r="AAJ2" s="396"/>
      <c r="AAK2" s="396"/>
      <c r="AAL2" s="396"/>
      <c r="AAM2" s="396"/>
      <c r="AAN2" s="396"/>
      <c r="AAO2" s="396"/>
      <c r="AAP2" s="396"/>
      <c r="AAQ2" s="396"/>
      <c r="AAR2" s="396"/>
      <c r="AAS2" s="396"/>
      <c r="AAT2" s="396"/>
      <c r="AAU2" s="396"/>
      <c r="AAV2" s="396"/>
      <c r="AAW2" s="396"/>
      <c r="AAX2" s="396"/>
      <c r="AAY2" s="396"/>
      <c r="AAZ2" s="396"/>
      <c r="ABA2" s="396"/>
      <c r="ABB2" s="396"/>
      <c r="ABC2" s="396"/>
      <c r="ABD2" s="396"/>
      <c r="ABE2" s="396"/>
      <c r="ABF2" s="396"/>
      <c r="ABG2" s="396"/>
      <c r="ABH2" s="396"/>
      <c r="ABI2" s="396"/>
      <c r="ABJ2" s="396"/>
      <c r="ABK2" s="396"/>
      <c r="ABL2" s="396"/>
      <c r="ABM2" s="396"/>
      <c r="ABN2" s="396"/>
      <c r="ABO2" s="396"/>
      <c r="ABP2" s="396"/>
      <c r="ABQ2" s="396"/>
      <c r="ABR2" s="396"/>
      <c r="ABS2" s="396"/>
      <c r="ABT2" s="396"/>
      <c r="ABU2" s="396"/>
      <c r="ABV2" s="396"/>
      <c r="ABW2" s="396"/>
      <c r="ABX2" s="396"/>
      <c r="ABY2" s="396"/>
      <c r="ABZ2" s="396"/>
      <c r="ACA2" s="396"/>
      <c r="ACB2" s="396"/>
      <c r="ACC2" s="396"/>
      <c r="ACD2" s="396"/>
      <c r="ACE2" s="396"/>
      <c r="ACF2" s="396"/>
      <c r="ACG2" s="396"/>
      <c r="ACH2" s="396"/>
      <c r="ACI2" s="396"/>
      <c r="ACJ2" s="396"/>
      <c r="ACK2" s="396"/>
      <c r="ACL2" s="396"/>
      <c r="ACM2" s="396"/>
      <c r="ACN2" s="396"/>
      <c r="ACO2" s="396"/>
      <c r="ACP2" s="396"/>
      <c r="ACQ2" s="396"/>
      <c r="ACR2" s="396"/>
      <c r="ACS2" s="396"/>
      <c r="ACT2" s="396"/>
      <c r="ACU2" s="396"/>
      <c r="ACV2" s="396"/>
      <c r="ACW2" s="396"/>
      <c r="ACX2" s="396"/>
      <c r="ACY2" s="396"/>
      <c r="ACZ2" s="396"/>
      <c r="ADA2" s="396"/>
      <c r="ADB2" s="396"/>
      <c r="ADC2" s="396"/>
      <c r="ADD2" s="396"/>
      <c r="ADE2" s="396"/>
      <c r="ADF2" s="396"/>
      <c r="ADG2" s="396"/>
      <c r="ADH2" s="396"/>
      <c r="ADI2" s="396"/>
      <c r="ADJ2" s="396"/>
      <c r="ADK2" s="396"/>
      <c r="ADL2" s="396"/>
      <c r="ADM2" s="396"/>
      <c r="ADN2" s="396"/>
      <c r="ADO2" s="396"/>
      <c r="ADP2" s="396"/>
      <c r="ADQ2" s="396"/>
      <c r="ADR2" s="396"/>
      <c r="ADS2" s="396"/>
      <c r="ADT2" s="396"/>
      <c r="ADU2" s="396"/>
      <c r="ADV2" s="396"/>
      <c r="ADW2" s="396"/>
      <c r="ADX2" s="396"/>
      <c r="ADY2" s="396"/>
      <c r="ADZ2" s="396"/>
      <c r="AEA2" s="396"/>
      <c r="AEB2" s="396"/>
      <c r="AEC2" s="396"/>
      <c r="AED2" s="396"/>
      <c r="AEE2" s="396"/>
      <c r="AEF2" s="396"/>
      <c r="AEG2" s="396"/>
      <c r="AEH2" s="396"/>
      <c r="AEI2" s="396"/>
      <c r="AEJ2" s="396"/>
      <c r="AEK2" s="396"/>
      <c r="AEL2" s="396"/>
      <c r="AEM2" s="396"/>
      <c r="AEN2" s="396"/>
      <c r="AEO2" s="396"/>
      <c r="AEP2" s="396"/>
      <c r="AEQ2" s="396"/>
      <c r="AER2" s="396"/>
      <c r="AES2" s="396"/>
      <c r="AET2" s="396"/>
      <c r="AEU2" s="396"/>
      <c r="AEV2" s="396"/>
      <c r="AEW2" s="396"/>
      <c r="AEX2" s="396"/>
      <c r="AEY2" s="396"/>
      <c r="AEZ2" s="396"/>
      <c r="AFA2" s="396"/>
      <c r="AFB2" s="396"/>
      <c r="AFC2" s="396"/>
      <c r="AFD2" s="396"/>
      <c r="AFE2" s="396"/>
      <c r="AFF2" s="396"/>
      <c r="AFG2" s="396"/>
      <c r="AFH2" s="396"/>
      <c r="AFI2" s="396"/>
      <c r="AFJ2" s="396"/>
      <c r="AFK2" s="396"/>
      <c r="AFL2" s="396"/>
      <c r="AFM2" s="396"/>
      <c r="AFN2" s="396"/>
      <c r="AFO2" s="396"/>
      <c r="AFP2" s="396"/>
      <c r="AFQ2" s="396"/>
      <c r="AFR2" s="396"/>
      <c r="AFS2" s="396"/>
      <c r="AFT2" s="396"/>
      <c r="AFU2" s="396"/>
      <c r="AFV2" s="396"/>
      <c r="AFW2" s="396"/>
      <c r="AFX2" s="396"/>
      <c r="AFY2" s="396"/>
      <c r="AFZ2" s="396"/>
      <c r="AGA2" s="396"/>
      <c r="AGB2" s="396"/>
      <c r="AGC2" s="396"/>
      <c r="AGD2" s="396"/>
      <c r="AGE2" s="396"/>
      <c r="AGF2" s="396"/>
      <c r="AGG2" s="396"/>
      <c r="AGH2" s="396"/>
      <c r="AGI2" s="396"/>
      <c r="AGJ2" s="396"/>
      <c r="AGK2" s="396"/>
      <c r="AGL2" s="396"/>
      <c r="AGM2" s="396"/>
      <c r="AGN2" s="396"/>
      <c r="AGO2" s="396"/>
      <c r="AGP2" s="396"/>
      <c r="AGQ2" s="396"/>
      <c r="AGR2" s="396"/>
      <c r="AGS2" s="396"/>
      <c r="AGT2" s="396"/>
      <c r="AGU2" s="396"/>
      <c r="AGV2" s="396"/>
      <c r="AGW2" s="396"/>
      <c r="AGX2" s="396"/>
      <c r="AGY2" s="396"/>
      <c r="AGZ2" s="396"/>
      <c r="AHA2" s="396"/>
      <c r="AHB2" s="396"/>
      <c r="AHC2" s="396"/>
      <c r="AHD2" s="396"/>
      <c r="AHE2" s="396"/>
      <c r="AHF2" s="396"/>
      <c r="AHG2" s="396"/>
      <c r="AHH2" s="396"/>
      <c r="AHI2" s="396"/>
      <c r="AHJ2" s="396"/>
      <c r="AHK2" s="396"/>
      <c r="AHL2" s="396"/>
      <c r="AHM2" s="396"/>
      <c r="AHN2" s="396"/>
      <c r="AHO2" s="396"/>
      <c r="AHP2" s="396"/>
      <c r="AHQ2" s="396"/>
      <c r="AHR2" s="396"/>
      <c r="AHS2" s="396"/>
      <c r="AHT2" s="396"/>
      <c r="AHU2" s="396"/>
      <c r="AHV2" s="396"/>
      <c r="AHW2" s="396"/>
      <c r="AHX2" s="396"/>
      <c r="AHY2" s="396"/>
      <c r="AHZ2" s="396"/>
      <c r="AIA2" s="396"/>
      <c r="AIB2" s="396"/>
      <c r="AIC2" s="396"/>
      <c r="AID2" s="396"/>
      <c r="AIE2" s="396"/>
      <c r="AIF2" s="396"/>
      <c r="AIG2" s="396"/>
      <c r="AIH2" s="396"/>
      <c r="AII2" s="396"/>
      <c r="AIJ2" s="396"/>
      <c r="AIK2" s="396"/>
      <c r="AIL2" s="396"/>
      <c r="AIM2" s="396"/>
      <c r="AIN2" s="396"/>
      <c r="AIO2" s="396"/>
      <c r="AIP2" s="396"/>
      <c r="AIQ2" s="396"/>
      <c r="AIR2" s="396"/>
      <c r="AIS2" s="396"/>
      <c r="AIT2" s="396"/>
      <c r="AIU2" s="396"/>
      <c r="AIV2" s="396"/>
      <c r="AIW2" s="396"/>
      <c r="AIX2" s="396"/>
      <c r="AIY2" s="396"/>
      <c r="AIZ2" s="396"/>
      <c r="AJA2" s="396"/>
      <c r="AJB2" s="396"/>
      <c r="AJC2" s="396"/>
      <c r="AJD2" s="396"/>
      <c r="AJE2" s="396"/>
      <c r="AJF2" s="396"/>
      <c r="AJG2" s="396"/>
      <c r="AJH2" s="396"/>
      <c r="AJI2" s="396"/>
      <c r="AJJ2" s="396"/>
      <c r="AJK2" s="396"/>
      <c r="AJL2" s="396"/>
      <c r="AJM2" s="396"/>
      <c r="AJN2" s="396"/>
      <c r="AJO2" s="396"/>
      <c r="AJP2" s="396"/>
      <c r="AJQ2" s="396"/>
      <c r="AJR2" s="396"/>
      <c r="AJS2" s="396"/>
      <c r="AJT2" s="396"/>
      <c r="AJU2" s="396"/>
      <c r="AJV2" s="396"/>
      <c r="AJW2" s="396"/>
      <c r="AJX2" s="396"/>
      <c r="AJY2" s="396"/>
      <c r="AJZ2" s="396"/>
      <c r="AKA2" s="396"/>
      <c r="AKB2" s="396"/>
      <c r="AKC2" s="396"/>
      <c r="AKD2" s="396"/>
      <c r="AKE2" s="396"/>
      <c r="AKF2" s="396"/>
      <c r="AKG2" s="396"/>
      <c r="AKH2" s="396"/>
      <c r="AKI2" s="396"/>
      <c r="AKJ2" s="396"/>
      <c r="AKK2" s="396"/>
      <c r="AKL2" s="396"/>
      <c r="AKM2" s="396"/>
      <c r="AKN2" s="396"/>
      <c r="AKO2" s="396"/>
      <c r="AKP2" s="396"/>
      <c r="AKQ2" s="396"/>
      <c r="AKR2" s="396"/>
      <c r="AKS2" s="396"/>
      <c r="AKT2" s="396"/>
      <c r="AKU2" s="396"/>
      <c r="AKV2" s="396"/>
      <c r="AKW2" s="396"/>
      <c r="AKX2" s="396"/>
      <c r="AKY2" s="396"/>
      <c r="AKZ2" s="396"/>
      <c r="ALA2" s="396"/>
      <c r="ALB2" s="396"/>
      <c r="ALC2" s="396"/>
      <c r="ALD2" s="396"/>
      <c r="ALE2" s="396"/>
      <c r="ALF2" s="396"/>
      <c r="ALG2" s="396"/>
      <c r="ALH2" s="396"/>
      <c r="ALI2" s="396"/>
      <c r="ALJ2" s="396"/>
      <c r="ALK2" s="396"/>
      <c r="ALL2" s="396"/>
      <c r="ALM2" s="396"/>
      <c r="ALN2" s="396"/>
      <c r="ALO2" s="396"/>
      <c r="ALP2" s="396"/>
      <c r="ALQ2" s="396"/>
      <c r="ALR2" s="396"/>
      <c r="ALS2" s="396"/>
      <c r="ALT2" s="396"/>
      <c r="ALU2" s="396"/>
      <c r="ALV2" s="396"/>
      <c r="ALW2" s="396"/>
      <c r="ALX2" s="396"/>
      <c r="ALY2" s="396"/>
      <c r="ALZ2" s="396"/>
      <c r="AMA2" s="396"/>
      <c r="AMB2" s="396"/>
      <c r="AMC2" s="396"/>
      <c r="AMD2" s="396"/>
      <c r="AME2" s="396"/>
      <c r="AMF2" s="396"/>
      <c r="AMG2" s="396"/>
      <c r="AMH2" s="396"/>
      <c r="AMI2" s="396"/>
      <c r="AMJ2" s="396"/>
    </row>
    <row r="3" spans="1:1024" s="59" customFormat="1">
      <c r="A3" s="59" t="str">
        <f t="shared" ref="A3:A66" si="0">B3&amp;C3&amp;D3&amp;E3&amp;F3</f>
        <v>IndoorSoluble concentrates, emulsifiable concentrate, etc.Downward sprayingManual-Hand heldBody</v>
      </c>
      <c r="B3" s="59" t="s">
        <v>496</v>
      </c>
      <c r="C3" s="59" t="s">
        <v>497</v>
      </c>
      <c r="D3" s="59" t="s">
        <v>498</v>
      </c>
      <c r="E3" s="59" t="s">
        <v>499</v>
      </c>
      <c r="F3" s="59" t="s">
        <v>420</v>
      </c>
      <c r="G3" s="393">
        <v>3.04</v>
      </c>
      <c r="H3" s="393">
        <v>0.74</v>
      </c>
      <c r="I3" s="393">
        <v>0.52</v>
      </c>
      <c r="J3" s="393"/>
      <c r="K3" s="393">
        <v>3.87</v>
      </c>
      <c r="L3" s="393">
        <v>0.69</v>
      </c>
      <c r="M3" s="393">
        <v>0.72</v>
      </c>
      <c r="N3" s="393"/>
      <c r="O3" s="393"/>
      <c r="P3" s="393"/>
      <c r="Q3" s="393"/>
      <c r="R3" s="393">
        <v>16797</v>
      </c>
      <c r="S3" s="393"/>
      <c r="T3" s="393"/>
      <c r="U3" s="393"/>
      <c r="V3" s="393">
        <v>28082</v>
      </c>
    </row>
    <row r="4" spans="1:1024" s="59" customFormat="1">
      <c r="A4" s="59" t="str">
        <f t="shared" si="0"/>
        <v>IndoorWettable granules, soluble granulesDownward sprayingManual-Hand heldBody</v>
      </c>
      <c r="B4" s="59" t="s">
        <v>496</v>
      </c>
      <c r="C4" s="59" t="s">
        <v>500</v>
      </c>
      <c r="D4" s="59" t="s">
        <v>498</v>
      </c>
      <c r="E4" s="59" t="s">
        <v>499</v>
      </c>
      <c r="F4" s="59" t="s">
        <v>420</v>
      </c>
      <c r="G4" s="393">
        <v>3.04</v>
      </c>
      <c r="H4" s="393">
        <v>0.74</v>
      </c>
      <c r="I4" s="393"/>
      <c r="J4" s="393"/>
      <c r="K4" s="393">
        <v>3.87</v>
      </c>
      <c r="L4" s="393">
        <v>0.69</v>
      </c>
      <c r="M4" s="393"/>
      <c r="N4" s="393"/>
      <c r="O4" s="393"/>
      <c r="P4" s="393"/>
      <c r="Q4" s="393"/>
      <c r="R4" s="393">
        <v>16797</v>
      </c>
      <c r="S4" s="393"/>
      <c r="T4" s="393"/>
      <c r="U4" s="393"/>
      <c r="V4" s="393">
        <v>28082</v>
      </c>
    </row>
    <row r="5" spans="1:1024" s="59" customFormat="1">
      <c r="A5" s="59" t="str">
        <f t="shared" si="0"/>
        <v>IndoorWettable powder, soluble powderDownward sprayingManual-Hand heldBody</v>
      </c>
      <c r="B5" s="59" t="s">
        <v>496</v>
      </c>
      <c r="C5" s="59" t="s">
        <v>501</v>
      </c>
      <c r="D5" s="59" t="s">
        <v>498</v>
      </c>
      <c r="E5" s="59" t="s">
        <v>499</v>
      </c>
      <c r="F5" s="59" t="s">
        <v>420</v>
      </c>
      <c r="G5" s="393">
        <v>3.04</v>
      </c>
      <c r="H5" s="393">
        <v>0.74</v>
      </c>
      <c r="I5" s="393">
        <v>1.85</v>
      </c>
      <c r="J5" s="393"/>
      <c r="K5" s="393">
        <v>3.87</v>
      </c>
      <c r="L5" s="393">
        <v>0.69</v>
      </c>
      <c r="M5" s="393">
        <v>1.29</v>
      </c>
      <c r="N5" s="393"/>
      <c r="O5" s="393"/>
      <c r="P5" s="393"/>
      <c r="Q5" s="393"/>
      <c r="R5" s="393">
        <v>16797</v>
      </c>
      <c r="S5" s="393"/>
      <c r="T5" s="393"/>
      <c r="U5" s="393"/>
      <c r="V5" s="393">
        <v>28082</v>
      </c>
    </row>
    <row r="6" spans="1:1024" s="59" customFormat="1">
      <c r="A6" s="59" t="str">
        <f t="shared" si="0"/>
        <v>IndoorSoluble concentrates, emulsifiable concentrate, etc.Downward sprayingManual-Hand heldHands</v>
      </c>
      <c r="B6" s="59" t="s">
        <v>496</v>
      </c>
      <c r="C6" s="59" t="s">
        <v>497</v>
      </c>
      <c r="D6" s="59" t="s">
        <v>498</v>
      </c>
      <c r="E6" s="59" t="s">
        <v>499</v>
      </c>
      <c r="F6" s="59" t="s">
        <v>418</v>
      </c>
      <c r="G6" s="393">
        <v>3.27</v>
      </c>
      <c r="H6" s="393">
        <v>0.64</v>
      </c>
      <c r="I6" s="393">
        <v>0.64</v>
      </c>
      <c r="J6" s="393"/>
      <c r="K6" s="393">
        <v>3.74</v>
      </c>
      <c r="L6" s="393">
        <v>0.69</v>
      </c>
      <c r="M6" s="393">
        <v>0.71</v>
      </c>
      <c r="N6" s="393"/>
      <c r="O6" s="393"/>
      <c r="P6" s="393"/>
      <c r="Q6" s="393"/>
      <c r="R6" s="393">
        <v>1323</v>
      </c>
      <c r="S6" s="393"/>
      <c r="T6" s="393"/>
      <c r="U6" s="393"/>
      <c r="V6" s="393">
        <v>4159</v>
      </c>
    </row>
    <row r="7" spans="1:1024" s="59" customFormat="1">
      <c r="A7" s="59" t="str">
        <f t="shared" si="0"/>
        <v>IndoorWettable granules, soluble granulesDownward sprayingManual-Hand heldHands</v>
      </c>
      <c r="B7" s="59" t="s">
        <v>496</v>
      </c>
      <c r="C7" s="59" t="s">
        <v>500</v>
      </c>
      <c r="D7" s="59" t="s">
        <v>498</v>
      </c>
      <c r="E7" s="59" t="s">
        <v>499</v>
      </c>
      <c r="F7" s="59" t="s">
        <v>418</v>
      </c>
      <c r="G7" s="393">
        <v>3.27</v>
      </c>
      <c r="H7" s="393">
        <v>0.64</v>
      </c>
      <c r="I7" s="393">
        <v>0</v>
      </c>
      <c r="J7" s="393"/>
      <c r="K7" s="393">
        <v>3.74</v>
      </c>
      <c r="L7" s="393">
        <v>0.69</v>
      </c>
      <c r="M7" s="393"/>
      <c r="N7" s="393"/>
      <c r="O7" s="393"/>
      <c r="P7" s="393"/>
      <c r="Q7" s="393"/>
      <c r="R7" s="393">
        <v>1323</v>
      </c>
      <c r="S7" s="393"/>
      <c r="T7" s="393"/>
      <c r="U7" s="393"/>
      <c r="V7" s="393">
        <v>4159</v>
      </c>
    </row>
    <row r="8" spans="1:1024" s="59" customFormat="1">
      <c r="A8" s="59" t="str">
        <f t="shared" si="0"/>
        <v>IndoorWettable powder, soluble powderDownward sprayingManual-Hand heldHands</v>
      </c>
      <c r="B8" s="59" t="s">
        <v>496</v>
      </c>
      <c r="C8" s="59" t="s">
        <v>501</v>
      </c>
      <c r="D8" s="59" t="s">
        <v>498</v>
      </c>
      <c r="E8" s="59" t="s">
        <v>499</v>
      </c>
      <c r="F8" s="59" t="s">
        <v>418</v>
      </c>
      <c r="G8" s="393">
        <v>3.27</v>
      </c>
      <c r="H8" s="393">
        <v>0.64</v>
      </c>
      <c r="I8" s="393">
        <v>1.28</v>
      </c>
      <c r="J8" s="393"/>
      <c r="K8" s="393">
        <v>3.74</v>
      </c>
      <c r="L8" s="393">
        <v>0.69</v>
      </c>
      <c r="M8" s="393">
        <v>1.21</v>
      </c>
      <c r="N8" s="393"/>
      <c r="O8" s="393"/>
      <c r="P8" s="393"/>
      <c r="Q8" s="393"/>
      <c r="R8" s="393">
        <v>1323</v>
      </c>
      <c r="S8" s="393"/>
      <c r="T8" s="393"/>
      <c r="U8" s="393"/>
      <c r="V8" s="393">
        <v>4159</v>
      </c>
    </row>
    <row r="9" spans="1:1024" s="59" customFormat="1">
      <c r="A9" s="59" t="str">
        <f t="shared" si="0"/>
        <v>IndoorSoluble concentrates, emulsifiable concentrate, etc.Downward sprayingManual-Hand heldHead</v>
      </c>
      <c r="B9" s="59" t="s">
        <v>496</v>
      </c>
      <c r="C9" s="59" t="s">
        <v>497</v>
      </c>
      <c r="D9" s="59" t="s">
        <v>498</v>
      </c>
      <c r="E9" s="59" t="s">
        <v>499</v>
      </c>
      <c r="F9" s="59" t="s">
        <v>104</v>
      </c>
      <c r="G9" s="393">
        <v>1.46</v>
      </c>
      <c r="H9" s="393">
        <v>1</v>
      </c>
      <c r="I9" s="393">
        <f>0.34</f>
        <v>0.34</v>
      </c>
      <c r="J9" s="393"/>
      <c r="K9" s="393">
        <v>2.19</v>
      </c>
      <c r="L9" s="393">
        <v>1</v>
      </c>
      <c r="M9" s="393">
        <v>0.39</v>
      </c>
      <c r="N9" s="393"/>
      <c r="O9" s="393"/>
      <c r="P9" s="393"/>
      <c r="Q9" s="393"/>
      <c r="R9" s="393">
        <v>21</v>
      </c>
      <c r="S9" s="393"/>
      <c r="T9" s="393"/>
      <c r="U9" s="393"/>
      <c r="V9" s="393">
        <v>39</v>
      </c>
    </row>
    <row r="10" spans="1:1024" s="59" customFormat="1">
      <c r="A10" s="59" t="str">
        <f t="shared" si="0"/>
        <v>IndoorWettable granules, soluble granulesDownward sprayingManual-Hand heldHead</v>
      </c>
      <c r="B10" s="59" t="s">
        <v>496</v>
      </c>
      <c r="C10" s="59" t="s">
        <v>500</v>
      </c>
      <c r="D10" s="59" t="s">
        <v>498</v>
      </c>
      <c r="E10" s="59" t="s">
        <v>499</v>
      </c>
      <c r="F10" s="59" t="s">
        <v>104</v>
      </c>
      <c r="G10" s="393">
        <v>1.46</v>
      </c>
      <c r="H10" s="393">
        <v>1</v>
      </c>
      <c r="I10" s="393">
        <v>0</v>
      </c>
      <c r="J10" s="393"/>
      <c r="K10" s="393">
        <v>2.19</v>
      </c>
      <c r="L10" s="393">
        <v>1</v>
      </c>
      <c r="M10" s="393"/>
      <c r="N10" s="393"/>
      <c r="O10" s="393"/>
      <c r="P10" s="393"/>
      <c r="Q10" s="393"/>
      <c r="R10" s="393">
        <v>21</v>
      </c>
      <c r="S10" s="393"/>
      <c r="T10" s="393"/>
      <c r="U10" s="393"/>
      <c r="V10" s="393">
        <v>39</v>
      </c>
    </row>
    <row r="11" spans="1:1024" s="59" customFormat="1">
      <c r="A11" s="59" t="str">
        <f t="shared" si="0"/>
        <v>IndoorWettable powder, soluble powderDownward sprayingManual-Hand heldHead</v>
      </c>
      <c r="B11" s="59" t="s">
        <v>496</v>
      </c>
      <c r="C11" s="59" t="s">
        <v>501</v>
      </c>
      <c r="D11" s="59" t="s">
        <v>498</v>
      </c>
      <c r="E11" s="59" t="s">
        <v>499</v>
      </c>
      <c r="F11" s="59" t="s">
        <v>104</v>
      </c>
      <c r="G11" s="393">
        <v>1.46</v>
      </c>
      <c r="H11" s="393">
        <v>1</v>
      </c>
      <c r="I11" s="393">
        <v>0.7</v>
      </c>
      <c r="J11" s="393"/>
      <c r="K11" s="393">
        <v>2.19</v>
      </c>
      <c r="L11" s="393">
        <v>1</v>
      </c>
      <c r="M11" s="393">
        <v>0.11</v>
      </c>
      <c r="N11" s="393"/>
      <c r="O11" s="393"/>
      <c r="P11" s="393"/>
      <c r="Q11" s="393"/>
      <c r="R11" s="393">
        <v>21</v>
      </c>
      <c r="S11" s="393"/>
      <c r="T11" s="393"/>
      <c r="U11" s="393"/>
      <c r="V11" s="393">
        <v>39</v>
      </c>
    </row>
    <row r="12" spans="1:1024" s="59" customFormat="1">
      <c r="A12" s="59" t="str">
        <f t="shared" si="0"/>
        <v>IndoorSoluble concentrates, emulsifiable concentrate, etc.Downward sprayingManual-Hand heldInhalation</v>
      </c>
      <c r="B12" s="124" t="s">
        <v>496</v>
      </c>
      <c r="C12" s="124" t="s">
        <v>497</v>
      </c>
      <c r="D12" s="124" t="s">
        <v>498</v>
      </c>
      <c r="E12" s="124" t="s">
        <v>499</v>
      </c>
      <c r="F12" s="124" t="s">
        <v>109</v>
      </c>
      <c r="G12" s="393">
        <v>1.38</v>
      </c>
      <c r="H12" s="393">
        <v>0.38</v>
      </c>
      <c r="I12" s="393">
        <v>-0.87</v>
      </c>
      <c r="J12" s="393"/>
      <c r="K12" s="393">
        <v>1.81</v>
      </c>
      <c r="L12" s="393">
        <v>0.49</v>
      </c>
      <c r="M12" s="393">
        <v>-0.92</v>
      </c>
      <c r="N12" s="393"/>
      <c r="O12" s="393"/>
      <c r="P12" s="393"/>
      <c r="Q12" s="393"/>
      <c r="R12" s="393">
        <v>47</v>
      </c>
      <c r="S12" s="393"/>
      <c r="T12" s="393"/>
      <c r="U12" s="393"/>
      <c r="V12" s="393">
        <v>80</v>
      </c>
    </row>
    <row r="13" spans="1:1024" s="59" customFormat="1">
      <c r="A13" s="59" t="str">
        <f t="shared" si="0"/>
        <v>IndoorWettable granules, soluble granulesDownward sprayingManual-Hand heldInhalation</v>
      </c>
      <c r="B13" s="124" t="s">
        <v>496</v>
      </c>
      <c r="C13" s="124" t="s">
        <v>500</v>
      </c>
      <c r="D13" s="124" t="s">
        <v>498</v>
      </c>
      <c r="E13" s="124" t="s">
        <v>499</v>
      </c>
      <c r="F13" s="124" t="s">
        <v>109</v>
      </c>
      <c r="G13" s="393">
        <v>1.38</v>
      </c>
      <c r="H13" s="393">
        <v>0.38</v>
      </c>
      <c r="I13" s="393"/>
      <c r="J13" s="393"/>
      <c r="K13" s="393">
        <v>1.81</v>
      </c>
      <c r="L13" s="393">
        <v>0.49</v>
      </c>
      <c r="M13" s="393"/>
      <c r="N13" s="393"/>
      <c r="O13" s="393"/>
      <c r="P13" s="393"/>
      <c r="Q13" s="393"/>
      <c r="R13" s="393">
        <v>47</v>
      </c>
      <c r="S13" s="393"/>
      <c r="T13" s="393"/>
      <c r="U13" s="393"/>
      <c r="V13" s="393">
        <v>80</v>
      </c>
    </row>
    <row r="14" spans="1:1024" s="59" customFormat="1">
      <c r="A14" s="59" t="str">
        <f t="shared" si="0"/>
        <v>IndoorWettable powder, soluble powderDownward sprayingManual-Hand heldInhalation</v>
      </c>
      <c r="B14" s="124" t="s">
        <v>496</v>
      </c>
      <c r="C14" s="124" t="s">
        <v>501</v>
      </c>
      <c r="D14" s="124" t="s">
        <v>498</v>
      </c>
      <c r="E14" s="124" t="s">
        <v>499</v>
      </c>
      <c r="F14" s="124" t="s">
        <v>109</v>
      </c>
      <c r="G14" s="393">
        <v>1.38</v>
      </c>
      <c r="H14" s="393">
        <v>0.38</v>
      </c>
      <c r="I14" s="393">
        <v>1.96</v>
      </c>
      <c r="J14" s="393"/>
      <c r="K14" s="393">
        <v>1.81</v>
      </c>
      <c r="L14" s="393">
        <v>0.49</v>
      </c>
      <c r="M14" s="393">
        <v>1.54</v>
      </c>
      <c r="N14" s="393"/>
      <c r="O14" s="393"/>
      <c r="P14" s="393"/>
      <c r="Q14" s="393"/>
      <c r="R14" s="393">
        <v>47</v>
      </c>
      <c r="S14" s="393"/>
      <c r="T14" s="393"/>
      <c r="U14" s="393"/>
      <c r="V14" s="393">
        <v>80</v>
      </c>
    </row>
    <row r="15" spans="1:1024" s="59" customFormat="1">
      <c r="A15" s="59" t="str">
        <f t="shared" si="0"/>
        <v>IndoorSoluble concentrates, emulsifiable concentrate, etc.Downward sprayingManual-Hand heldProtected Body</v>
      </c>
      <c r="B15" s="127" t="s">
        <v>496</v>
      </c>
      <c r="C15" s="127" t="s">
        <v>497</v>
      </c>
      <c r="D15" s="127" t="s">
        <v>498</v>
      </c>
      <c r="E15" s="127" t="s">
        <v>499</v>
      </c>
      <c r="F15" s="127" t="s">
        <v>502</v>
      </c>
      <c r="G15" s="393">
        <v>1.58</v>
      </c>
      <c r="H15" s="393">
        <v>0.62</v>
      </c>
      <c r="I15" s="393">
        <v>0.12</v>
      </c>
      <c r="J15" s="393"/>
      <c r="K15" s="393">
        <v>2.09</v>
      </c>
      <c r="L15" s="393">
        <v>0.78</v>
      </c>
      <c r="M15" s="393">
        <v>0.44</v>
      </c>
      <c r="N15" s="393"/>
      <c r="O15" s="393"/>
      <c r="P15" s="393"/>
      <c r="Q15" s="393"/>
      <c r="R15" s="393">
        <v>132</v>
      </c>
      <c r="S15" s="393"/>
      <c r="T15" s="393"/>
      <c r="U15" s="393"/>
      <c r="V15" s="393">
        <v>640</v>
      </c>
    </row>
    <row r="16" spans="1:1024" s="59" customFormat="1">
      <c r="A16" s="59" t="str">
        <f t="shared" si="0"/>
        <v>IndoorWettable granules, soluble granulesDownward sprayingManual-Hand heldProtected Body</v>
      </c>
      <c r="B16" s="124" t="s">
        <v>496</v>
      </c>
      <c r="C16" s="124" t="s">
        <v>500</v>
      </c>
      <c r="D16" s="124" t="s">
        <v>498</v>
      </c>
      <c r="E16" s="124" t="s">
        <v>499</v>
      </c>
      <c r="F16" s="124" t="s">
        <v>502</v>
      </c>
      <c r="G16" s="393">
        <v>1.58</v>
      </c>
      <c r="H16" s="393">
        <v>0.62</v>
      </c>
      <c r="I16" s="393"/>
      <c r="J16" s="393"/>
      <c r="K16" s="393">
        <v>2.09</v>
      </c>
      <c r="L16" s="393">
        <v>0.78</v>
      </c>
      <c r="M16" s="393"/>
      <c r="N16" s="393"/>
      <c r="O16" s="393"/>
      <c r="P16" s="393"/>
      <c r="Q16" s="393"/>
      <c r="R16" s="393">
        <v>132</v>
      </c>
      <c r="S16" s="393"/>
      <c r="T16" s="393"/>
      <c r="U16" s="393"/>
      <c r="V16" s="393">
        <v>640</v>
      </c>
    </row>
    <row r="17" spans="1:22" s="59" customFormat="1">
      <c r="A17" s="59" t="str">
        <f t="shared" si="0"/>
        <v>IndoorWettable powder, soluble powderDownward sprayingManual-Hand heldProtected Body</v>
      </c>
      <c r="B17" s="127" t="s">
        <v>496</v>
      </c>
      <c r="C17" s="127" t="s">
        <v>501</v>
      </c>
      <c r="D17" s="127" t="s">
        <v>498</v>
      </c>
      <c r="E17" s="127" t="s">
        <v>499</v>
      </c>
      <c r="F17" s="127" t="s">
        <v>502</v>
      </c>
      <c r="G17" s="393">
        <v>1.58</v>
      </c>
      <c r="H17" s="393">
        <v>0.62</v>
      </c>
      <c r="I17" s="393">
        <v>1.84</v>
      </c>
      <c r="J17" s="393"/>
      <c r="K17" s="393">
        <v>2.09</v>
      </c>
      <c r="L17" s="393">
        <v>0.78</v>
      </c>
      <c r="M17" s="393">
        <v>1.58</v>
      </c>
      <c r="N17" s="393"/>
      <c r="O17" s="393"/>
      <c r="P17" s="393"/>
      <c r="Q17" s="393"/>
      <c r="R17" s="393">
        <v>132</v>
      </c>
      <c r="S17" s="393"/>
      <c r="T17" s="393"/>
      <c r="U17" s="393"/>
      <c r="V17" s="393">
        <v>640</v>
      </c>
    </row>
    <row r="18" spans="1:22" s="59" customFormat="1">
      <c r="A18" s="59" t="str">
        <f t="shared" si="0"/>
        <v>IndoorSoluble concentrates, emulsifiable concentrate, etc.Downward sprayingManual-Hand heldProtected Hands</v>
      </c>
      <c r="B18" s="127" t="s">
        <v>496</v>
      </c>
      <c r="C18" s="127" t="s">
        <v>497</v>
      </c>
      <c r="D18" s="127" t="s">
        <v>498</v>
      </c>
      <c r="E18" s="127" t="s">
        <v>499</v>
      </c>
      <c r="F18" s="127" t="s">
        <v>503</v>
      </c>
      <c r="G18" s="393">
        <v>1.46</v>
      </c>
      <c r="H18" s="393">
        <v>0.46</v>
      </c>
      <c r="I18" s="393">
        <v>0.32</v>
      </c>
      <c r="J18" s="393"/>
      <c r="K18" s="393">
        <v>2.29</v>
      </c>
      <c r="L18" s="393">
        <v>0.53</v>
      </c>
      <c r="M18" s="393">
        <v>0.83</v>
      </c>
      <c r="N18" s="393"/>
      <c r="O18" s="393"/>
      <c r="P18" s="393"/>
      <c r="Q18" s="393"/>
      <c r="R18" s="393">
        <v>1.5</v>
      </c>
      <c r="S18" s="393"/>
      <c r="T18" s="393"/>
      <c r="U18" s="393"/>
      <c r="V18" s="393">
        <v>12</v>
      </c>
    </row>
    <row r="19" spans="1:22" s="59" customFormat="1">
      <c r="A19" s="59" t="str">
        <f t="shared" si="0"/>
        <v>IndoorWettable granules, soluble granulesDownward sprayingManual-Hand heldProtected Hands</v>
      </c>
      <c r="B19" s="127" t="s">
        <v>496</v>
      </c>
      <c r="C19" s="127" t="s">
        <v>500</v>
      </c>
      <c r="D19" s="127" t="s">
        <v>498</v>
      </c>
      <c r="E19" s="127" t="s">
        <v>499</v>
      </c>
      <c r="F19" s="127" t="s">
        <v>503</v>
      </c>
      <c r="G19" s="393">
        <v>1.46</v>
      </c>
      <c r="H19" s="393">
        <v>0.46</v>
      </c>
      <c r="I19" s="393"/>
      <c r="J19" s="393"/>
      <c r="K19" s="393">
        <v>2.29</v>
      </c>
      <c r="L19" s="393">
        <v>0.53</v>
      </c>
      <c r="M19" s="393"/>
      <c r="N19" s="393"/>
      <c r="O19" s="393"/>
      <c r="P19" s="393"/>
      <c r="Q19" s="393"/>
      <c r="R19" s="393">
        <v>1.5</v>
      </c>
      <c r="S19" s="393"/>
      <c r="T19" s="393"/>
      <c r="U19" s="393"/>
      <c r="V19" s="393">
        <v>12</v>
      </c>
    </row>
    <row r="20" spans="1:22" s="59" customFormat="1">
      <c r="A20" s="59" t="str">
        <f t="shared" si="0"/>
        <v>IndoorWettable powder, soluble powderDownward sprayingManual-Hand heldProtected Hands</v>
      </c>
      <c r="B20" s="127" t="s">
        <v>496</v>
      </c>
      <c r="C20" s="127" t="s">
        <v>501</v>
      </c>
      <c r="D20" s="127" t="s">
        <v>498</v>
      </c>
      <c r="E20" s="127" t="s">
        <v>499</v>
      </c>
      <c r="F20" s="127" t="s">
        <v>503</v>
      </c>
      <c r="G20" s="393">
        <v>1.46</v>
      </c>
      <c r="H20" s="393">
        <v>0.46</v>
      </c>
      <c r="I20" s="393">
        <v>1.66</v>
      </c>
      <c r="J20" s="393"/>
      <c r="K20" s="393">
        <v>2.29</v>
      </c>
      <c r="L20" s="393">
        <v>0.53</v>
      </c>
      <c r="M20" s="393">
        <v>1.39</v>
      </c>
      <c r="N20" s="393"/>
      <c r="O20" s="393"/>
      <c r="P20" s="393"/>
      <c r="Q20" s="393"/>
      <c r="R20" s="393">
        <v>1.5</v>
      </c>
      <c r="S20" s="393"/>
      <c r="T20" s="393"/>
      <c r="U20" s="393"/>
      <c r="V20" s="393">
        <v>12</v>
      </c>
    </row>
    <row r="21" spans="1:22" s="59" customFormat="1">
      <c r="A21" s="59" t="str">
        <f t="shared" si="0"/>
        <v>IndoorSoluble concentrates, emulsifiable concentrate, etc.Downward sprayingManual-KnapsackBody</v>
      </c>
      <c r="B21" s="59" t="s">
        <v>496</v>
      </c>
      <c r="C21" s="59" t="s">
        <v>497</v>
      </c>
      <c r="D21" s="59" t="s">
        <v>498</v>
      </c>
      <c r="E21" s="59" t="s">
        <v>504</v>
      </c>
      <c r="F21" s="59" t="s">
        <v>420</v>
      </c>
      <c r="G21" s="393"/>
      <c r="H21" s="393"/>
      <c r="I21" s="393"/>
      <c r="J21" s="393">
        <v>803</v>
      </c>
      <c r="K21" s="393"/>
      <c r="L21" s="393"/>
      <c r="M21" s="393"/>
      <c r="N21" s="393">
        <v>2787</v>
      </c>
      <c r="O21" s="393"/>
      <c r="P21" s="393"/>
      <c r="Q21" s="393"/>
      <c r="R21" s="393">
        <v>16797</v>
      </c>
      <c r="S21" s="393"/>
      <c r="T21" s="393"/>
      <c r="U21" s="393"/>
      <c r="V21" s="393">
        <v>28082</v>
      </c>
    </row>
    <row r="22" spans="1:22" s="59" customFormat="1">
      <c r="A22" s="59" t="str">
        <f t="shared" si="0"/>
        <v>IndoorWettable granules, soluble granulesDownward sprayingManual-KnapsackBody</v>
      </c>
      <c r="B22" s="59" t="s">
        <v>496</v>
      </c>
      <c r="C22" s="59" t="s">
        <v>500</v>
      </c>
      <c r="D22" s="59" t="s">
        <v>498</v>
      </c>
      <c r="E22" s="59" t="s">
        <v>504</v>
      </c>
      <c r="F22" s="59" t="s">
        <v>420</v>
      </c>
      <c r="G22" s="393"/>
      <c r="H22" s="393"/>
      <c r="I22" s="393"/>
      <c r="J22" s="393">
        <v>803</v>
      </c>
      <c r="K22" s="393"/>
      <c r="L22" s="393"/>
      <c r="M22" s="393"/>
      <c r="N22" s="393">
        <v>2787</v>
      </c>
      <c r="O22" s="393"/>
      <c r="P22" s="393"/>
      <c r="Q22" s="393"/>
      <c r="R22" s="393">
        <v>16797</v>
      </c>
      <c r="S22" s="393"/>
      <c r="T22" s="393"/>
      <c r="U22" s="393"/>
      <c r="V22" s="393">
        <v>28082</v>
      </c>
    </row>
    <row r="23" spans="1:22" s="59" customFormat="1">
      <c r="A23" s="59" t="str">
        <f t="shared" si="0"/>
        <v>IndoorWettable powder, soluble powderDownward sprayingManual-KnapsackBody</v>
      </c>
      <c r="B23" s="59" t="s">
        <v>496</v>
      </c>
      <c r="C23" s="59" t="s">
        <v>501</v>
      </c>
      <c r="D23" s="59" t="s">
        <v>498</v>
      </c>
      <c r="E23" s="59" t="s">
        <v>504</v>
      </c>
      <c r="F23" s="59" t="s">
        <v>420</v>
      </c>
      <c r="G23" s="393"/>
      <c r="H23" s="393"/>
      <c r="I23" s="393"/>
      <c r="J23" s="393">
        <v>803</v>
      </c>
      <c r="K23" s="393"/>
      <c r="L23" s="393"/>
      <c r="M23" s="393"/>
      <c r="N23" s="393">
        <v>2787</v>
      </c>
      <c r="O23" s="393"/>
      <c r="P23" s="393"/>
      <c r="Q23" s="393"/>
      <c r="R23" s="393">
        <v>16797</v>
      </c>
      <c r="S23" s="393"/>
      <c r="T23" s="393"/>
      <c r="U23" s="393"/>
      <c r="V23" s="393">
        <v>28082</v>
      </c>
    </row>
    <row r="24" spans="1:22" s="59" customFormat="1">
      <c r="A24" s="59" t="str">
        <f t="shared" si="0"/>
        <v>IndoorSoluble concentrates, emulsifiable concentrate, etc.Downward sprayingManual-KnapsackHands</v>
      </c>
      <c r="B24" s="59" t="s">
        <v>496</v>
      </c>
      <c r="C24" s="59" t="s">
        <v>497</v>
      </c>
      <c r="D24" s="59" t="s">
        <v>498</v>
      </c>
      <c r="E24" s="59" t="s">
        <v>504</v>
      </c>
      <c r="F24" s="59" t="s">
        <v>418</v>
      </c>
      <c r="G24" s="393"/>
      <c r="H24" s="393"/>
      <c r="I24" s="393"/>
      <c r="J24" s="393">
        <v>9497</v>
      </c>
      <c r="K24" s="393"/>
      <c r="L24" s="393"/>
      <c r="M24" s="393"/>
      <c r="N24" s="393">
        <v>25490</v>
      </c>
      <c r="O24" s="393"/>
      <c r="P24" s="393"/>
      <c r="Q24" s="393"/>
      <c r="R24" s="393">
        <v>1323</v>
      </c>
      <c r="S24" s="393"/>
      <c r="T24" s="393"/>
      <c r="U24" s="393"/>
      <c r="V24" s="393">
        <v>4159</v>
      </c>
    </row>
    <row r="25" spans="1:22" s="59" customFormat="1">
      <c r="A25" s="59" t="str">
        <f t="shared" si="0"/>
        <v>IndoorWettable granules, soluble granulesDownward sprayingManual-KnapsackHands</v>
      </c>
      <c r="B25" s="59" t="s">
        <v>496</v>
      </c>
      <c r="C25" s="59" t="s">
        <v>500</v>
      </c>
      <c r="D25" s="59" t="s">
        <v>498</v>
      </c>
      <c r="E25" s="59" t="s">
        <v>504</v>
      </c>
      <c r="F25" s="59" t="s">
        <v>418</v>
      </c>
      <c r="G25" s="393"/>
      <c r="H25" s="393"/>
      <c r="I25" s="393"/>
      <c r="J25" s="393">
        <v>9497</v>
      </c>
      <c r="K25" s="393"/>
      <c r="L25" s="393"/>
      <c r="M25" s="393"/>
      <c r="N25" s="393">
        <v>25490</v>
      </c>
      <c r="O25" s="393"/>
      <c r="P25" s="393"/>
      <c r="Q25" s="393"/>
      <c r="R25" s="393">
        <v>1323</v>
      </c>
      <c r="S25" s="393"/>
      <c r="T25" s="393"/>
      <c r="U25" s="393"/>
      <c r="V25" s="393">
        <v>4159</v>
      </c>
    </row>
    <row r="26" spans="1:22" s="59" customFormat="1">
      <c r="A26" s="59" t="str">
        <f t="shared" si="0"/>
        <v>IndoorWettable powder, soluble powderDownward sprayingManual-KnapsackHands</v>
      </c>
      <c r="B26" s="59" t="s">
        <v>496</v>
      </c>
      <c r="C26" s="59" t="s">
        <v>501</v>
      </c>
      <c r="D26" s="59" t="s">
        <v>498</v>
      </c>
      <c r="E26" s="59" t="s">
        <v>504</v>
      </c>
      <c r="F26" s="59" t="s">
        <v>418</v>
      </c>
      <c r="G26" s="393"/>
      <c r="H26" s="393"/>
      <c r="I26" s="393"/>
      <c r="J26" s="393">
        <v>9497</v>
      </c>
      <c r="K26" s="393"/>
      <c r="L26" s="393"/>
      <c r="M26" s="393"/>
      <c r="N26" s="393">
        <v>25490</v>
      </c>
      <c r="O26" s="393"/>
      <c r="P26" s="393"/>
      <c r="Q26" s="393"/>
      <c r="R26" s="393">
        <v>1323</v>
      </c>
      <c r="S26" s="393"/>
      <c r="T26" s="393"/>
      <c r="U26" s="393"/>
      <c r="V26" s="393">
        <v>4159</v>
      </c>
    </row>
    <row r="27" spans="1:22" s="59" customFormat="1">
      <c r="A27" s="59" t="str">
        <f t="shared" si="0"/>
        <v>IndoorSoluble concentrates, emulsifiable concentrate, etc.Downward sprayingManual-KnapsackHead</v>
      </c>
      <c r="B27" s="59" t="s">
        <v>496</v>
      </c>
      <c r="C27" s="59" t="s">
        <v>497</v>
      </c>
      <c r="D27" s="59" t="s">
        <v>498</v>
      </c>
      <c r="E27" s="59" t="s">
        <v>504</v>
      </c>
      <c r="F27" s="59" t="s">
        <v>104</v>
      </c>
      <c r="G27" s="393"/>
      <c r="H27" s="393"/>
      <c r="I27" s="393"/>
      <c r="J27" s="393">
        <v>5.5</v>
      </c>
      <c r="K27" s="393"/>
      <c r="L27" s="393"/>
      <c r="M27" s="393"/>
      <c r="N27" s="393">
        <v>11</v>
      </c>
      <c r="O27" s="393"/>
      <c r="P27" s="393"/>
      <c r="Q27" s="393"/>
      <c r="R27" s="393">
        <v>21</v>
      </c>
      <c r="S27" s="393"/>
      <c r="T27" s="393"/>
      <c r="U27" s="393"/>
      <c r="V27" s="393">
        <v>39</v>
      </c>
    </row>
    <row r="28" spans="1:22" s="59" customFormat="1">
      <c r="A28" s="59" t="str">
        <f t="shared" si="0"/>
        <v>IndoorWettable granules, soluble granulesDownward sprayingManual-KnapsackHead</v>
      </c>
      <c r="B28" s="59" t="s">
        <v>496</v>
      </c>
      <c r="C28" s="59" t="s">
        <v>500</v>
      </c>
      <c r="D28" s="59" t="s">
        <v>498</v>
      </c>
      <c r="E28" s="59" t="s">
        <v>504</v>
      </c>
      <c r="F28" s="59" t="s">
        <v>104</v>
      </c>
      <c r="G28" s="393"/>
      <c r="H28" s="393"/>
      <c r="I28" s="393"/>
      <c r="J28" s="393">
        <v>5.5</v>
      </c>
      <c r="K28" s="393"/>
      <c r="L28" s="393"/>
      <c r="M28" s="393"/>
      <c r="N28" s="393">
        <v>11</v>
      </c>
      <c r="O28" s="393"/>
      <c r="P28" s="393"/>
      <c r="Q28" s="393"/>
      <c r="R28" s="393">
        <v>21</v>
      </c>
      <c r="S28" s="393"/>
      <c r="T28" s="393"/>
      <c r="U28" s="393"/>
      <c r="V28" s="393">
        <v>39</v>
      </c>
    </row>
    <row r="29" spans="1:22" s="59" customFormat="1">
      <c r="A29" s="59" t="str">
        <f t="shared" si="0"/>
        <v>IndoorWettable powder, soluble powderDownward sprayingManual-KnapsackHead</v>
      </c>
      <c r="B29" s="59" t="s">
        <v>496</v>
      </c>
      <c r="C29" s="59" t="s">
        <v>501</v>
      </c>
      <c r="D29" s="59" t="s">
        <v>498</v>
      </c>
      <c r="E29" s="59" t="s">
        <v>504</v>
      </c>
      <c r="F29" s="59" t="s">
        <v>104</v>
      </c>
      <c r="G29" s="393"/>
      <c r="H29" s="393"/>
      <c r="I29" s="393"/>
      <c r="J29" s="393">
        <v>5.5</v>
      </c>
      <c r="K29" s="393"/>
      <c r="L29" s="393"/>
      <c r="M29" s="393"/>
      <c r="N29" s="393">
        <v>11</v>
      </c>
      <c r="O29" s="393"/>
      <c r="P29" s="393"/>
      <c r="Q29" s="393"/>
      <c r="R29" s="393">
        <v>21</v>
      </c>
      <c r="S29" s="393"/>
      <c r="T29" s="393"/>
      <c r="U29" s="393"/>
      <c r="V29" s="393">
        <v>39</v>
      </c>
    </row>
    <row r="30" spans="1:22" s="59" customFormat="1">
      <c r="A30" s="59" t="str">
        <f t="shared" si="0"/>
        <v>IndoorSoluble concentrates, emulsifiable concentrate, etc.Downward sprayingManual-KnapsackInhalation</v>
      </c>
      <c r="B30" s="124" t="s">
        <v>496</v>
      </c>
      <c r="C30" s="124" t="s">
        <v>497</v>
      </c>
      <c r="D30" s="124" t="s">
        <v>498</v>
      </c>
      <c r="E30" s="124" t="s">
        <v>504</v>
      </c>
      <c r="F30" s="124" t="s">
        <v>109</v>
      </c>
      <c r="G30" s="393"/>
      <c r="H30" s="393"/>
      <c r="I30" s="393"/>
      <c r="J30" s="393">
        <v>35</v>
      </c>
      <c r="K30" s="393"/>
      <c r="L30" s="393"/>
      <c r="M30" s="393"/>
      <c r="N30" s="393">
        <v>36</v>
      </c>
      <c r="O30" s="393"/>
      <c r="P30" s="393"/>
      <c r="Q30" s="393"/>
      <c r="R30" s="393">
        <v>47</v>
      </c>
      <c r="S30" s="393"/>
      <c r="T30" s="393"/>
      <c r="U30" s="393"/>
      <c r="V30" s="393">
        <v>80</v>
      </c>
    </row>
    <row r="31" spans="1:22" s="59" customFormat="1">
      <c r="A31" s="59" t="str">
        <f t="shared" si="0"/>
        <v>IndoorWettable granules, soluble granulesDownward sprayingManual-KnapsackInhalation</v>
      </c>
      <c r="B31" s="124" t="s">
        <v>496</v>
      </c>
      <c r="C31" s="124" t="s">
        <v>500</v>
      </c>
      <c r="D31" s="124" t="s">
        <v>498</v>
      </c>
      <c r="E31" s="124" t="s">
        <v>504</v>
      </c>
      <c r="F31" s="124" t="s">
        <v>109</v>
      </c>
      <c r="G31" s="393"/>
      <c r="H31" s="393"/>
      <c r="I31" s="393"/>
      <c r="J31" s="393">
        <v>35</v>
      </c>
      <c r="K31" s="393"/>
      <c r="L31" s="393"/>
      <c r="M31" s="393"/>
      <c r="N31" s="393">
        <v>36</v>
      </c>
      <c r="O31" s="393"/>
      <c r="P31" s="393"/>
      <c r="Q31" s="393"/>
      <c r="R31" s="393">
        <v>47</v>
      </c>
      <c r="S31" s="393"/>
      <c r="T31" s="393"/>
      <c r="U31" s="393"/>
      <c r="V31" s="393">
        <v>80</v>
      </c>
    </row>
    <row r="32" spans="1:22" s="59" customFormat="1">
      <c r="A32" s="59" t="str">
        <f t="shared" si="0"/>
        <v>IndoorWettable powder, soluble powderDownward sprayingManual-KnapsackInhalation</v>
      </c>
      <c r="B32" s="124" t="s">
        <v>496</v>
      </c>
      <c r="C32" s="124" t="s">
        <v>501</v>
      </c>
      <c r="D32" s="124" t="s">
        <v>498</v>
      </c>
      <c r="E32" s="124" t="s">
        <v>504</v>
      </c>
      <c r="F32" s="124" t="s">
        <v>109</v>
      </c>
      <c r="G32" s="393"/>
      <c r="H32" s="393"/>
      <c r="I32" s="393"/>
      <c r="J32" s="393">
        <v>35</v>
      </c>
      <c r="K32" s="393"/>
      <c r="L32" s="393"/>
      <c r="M32" s="393"/>
      <c r="N32" s="393">
        <v>36</v>
      </c>
      <c r="O32" s="393"/>
      <c r="P32" s="393"/>
      <c r="Q32" s="393"/>
      <c r="R32" s="393">
        <v>47</v>
      </c>
      <c r="S32" s="393"/>
      <c r="T32" s="393"/>
      <c r="U32" s="393"/>
      <c r="V32" s="393">
        <v>80</v>
      </c>
    </row>
    <row r="33" spans="1:22" s="59" customFormat="1">
      <c r="A33" s="59" t="str">
        <f t="shared" si="0"/>
        <v>IndoorSoluble concentrates, emulsifiable concentrate, etc.Downward sprayingManual-KnapsackProtected Body</v>
      </c>
      <c r="B33" s="127" t="s">
        <v>496</v>
      </c>
      <c r="C33" s="127" t="s">
        <v>497</v>
      </c>
      <c r="D33" s="127" t="s">
        <v>498</v>
      </c>
      <c r="E33" s="127" t="s">
        <v>504</v>
      </c>
      <c r="F33" s="127" t="s">
        <v>502</v>
      </c>
      <c r="G33" s="393"/>
      <c r="H33" s="393"/>
      <c r="I33" s="393"/>
      <c r="J33" s="393">
        <v>25</v>
      </c>
      <c r="K33" s="393"/>
      <c r="L33" s="393"/>
      <c r="M33" s="393"/>
      <c r="N33" s="393">
        <v>103</v>
      </c>
      <c r="O33" s="393"/>
      <c r="P33" s="393"/>
      <c r="Q33" s="393"/>
      <c r="R33" s="393">
        <v>132</v>
      </c>
      <c r="S33" s="393"/>
      <c r="T33" s="393"/>
      <c r="U33" s="393"/>
      <c r="V33" s="393">
        <v>640</v>
      </c>
    </row>
    <row r="34" spans="1:22" s="59" customFormat="1">
      <c r="A34" s="59" t="str">
        <f t="shared" si="0"/>
        <v>IndoorWettable granules, soluble granulesDownward sprayingManual-KnapsackProtected Body</v>
      </c>
      <c r="B34" s="127" t="s">
        <v>496</v>
      </c>
      <c r="C34" s="127" t="s">
        <v>500</v>
      </c>
      <c r="D34" s="127" t="s">
        <v>498</v>
      </c>
      <c r="E34" s="127" t="s">
        <v>504</v>
      </c>
      <c r="F34" s="127" t="s">
        <v>502</v>
      </c>
      <c r="G34" s="393"/>
      <c r="H34" s="393"/>
      <c r="I34" s="393"/>
      <c r="J34" s="393">
        <v>25</v>
      </c>
      <c r="K34" s="393"/>
      <c r="L34" s="393"/>
      <c r="M34" s="393"/>
      <c r="N34" s="393">
        <v>103</v>
      </c>
      <c r="O34" s="393"/>
      <c r="P34" s="393"/>
      <c r="Q34" s="393"/>
      <c r="R34" s="393">
        <v>132</v>
      </c>
      <c r="S34" s="393"/>
      <c r="T34" s="393"/>
      <c r="U34" s="393"/>
      <c r="V34" s="393">
        <v>640</v>
      </c>
    </row>
    <row r="35" spans="1:22" s="59" customFormat="1">
      <c r="A35" s="59" t="str">
        <f t="shared" si="0"/>
        <v>IndoorWettable powder, soluble powderDownward sprayingManual-KnapsackProtected Body</v>
      </c>
      <c r="B35" s="127" t="s">
        <v>496</v>
      </c>
      <c r="C35" s="127" t="s">
        <v>501</v>
      </c>
      <c r="D35" s="127" t="s">
        <v>498</v>
      </c>
      <c r="E35" s="127" t="s">
        <v>504</v>
      </c>
      <c r="F35" s="127" t="s">
        <v>502</v>
      </c>
      <c r="G35" s="393"/>
      <c r="H35" s="393"/>
      <c r="I35" s="393"/>
      <c r="J35" s="393">
        <v>25</v>
      </c>
      <c r="K35" s="393"/>
      <c r="L35" s="393"/>
      <c r="M35" s="393"/>
      <c r="N35" s="393">
        <v>103</v>
      </c>
      <c r="O35" s="393"/>
      <c r="P35" s="393"/>
      <c r="Q35" s="393"/>
      <c r="R35" s="393">
        <v>132</v>
      </c>
      <c r="S35" s="393"/>
      <c r="T35" s="393"/>
      <c r="U35" s="393"/>
      <c r="V35" s="393">
        <v>640</v>
      </c>
    </row>
    <row r="36" spans="1:22" s="59" customFormat="1">
      <c r="A36" s="59" t="str">
        <f t="shared" si="0"/>
        <v>IndoorWettable granules, soluble granulesDownward sprayingManual-KnapsackProtected Hands</v>
      </c>
      <c r="B36" s="127" t="s">
        <v>496</v>
      </c>
      <c r="C36" s="127" t="s">
        <v>500</v>
      </c>
      <c r="D36" s="127" t="s">
        <v>498</v>
      </c>
      <c r="E36" s="127" t="s">
        <v>504</v>
      </c>
      <c r="F36" s="127" t="s">
        <v>503</v>
      </c>
      <c r="G36" s="393"/>
      <c r="H36" s="393"/>
      <c r="I36" s="393"/>
      <c r="J36" s="393">
        <v>21</v>
      </c>
      <c r="K36" s="393"/>
      <c r="L36" s="393"/>
      <c r="M36" s="393"/>
      <c r="N36" s="393">
        <v>164</v>
      </c>
      <c r="O36" s="393"/>
      <c r="P36" s="393"/>
      <c r="Q36" s="393"/>
      <c r="R36" s="393">
        <v>1.5</v>
      </c>
      <c r="S36" s="393"/>
      <c r="T36" s="393"/>
      <c r="U36" s="393"/>
      <c r="V36" s="393">
        <v>12</v>
      </c>
    </row>
    <row r="37" spans="1:22" s="59" customFormat="1">
      <c r="A37" s="59" t="str">
        <f t="shared" si="0"/>
        <v>IndoorSoluble concentrates, emulsifiable concentrate, etc.Downward sprayingManual-KnapsackProtected Hands</v>
      </c>
      <c r="B37" s="127" t="s">
        <v>496</v>
      </c>
      <c r="C37" s="127" t="s">
        <v>497</v>
      </c>
      <c r="D37" s="127" t="s">
        <v>498</v>
      </c>
      <c r="E37" s="127" t="s">
        <v>504</v>
      </c>
      <c r="F37" s="127" t="s">
        <v>503</v>
      </c>
      <c r="G37" s="393"/>
      <c r="H37" s="393"/>
      <c r="I37" s="393"/>
      <c r="J37" s="393">
        <v>21</v>
      </c>
      <c r="K37" s="393"/>
      <c r="L37" s="393"/>
      <c r="M37" s="393"/>
      <c r="N37" s="393">
        <v>164</v>
      </c>
      <c r="O37" s="393"/>
      <c r="P37" s="393"/>
      <c r="Q37" s="393"/>
      <c r="R37" s="393">
        <v>1.5</v>
      </c>
      <c r="S37" s="393"/>
      <c r="T37" s="393"/>
      <c r="U37" s="393"/>
      <c r="V37" s="393">
        <v>12</v>
      </c>
    </row>
    <row r="38" spans="1:22" s="59" customFormat="1">
      <c r="A38" s="59" t="str">
        <f t="shared" si="0"/>
        <v>IndoorWettable powder, soluble powderDownward sprayingManual-KnapsackProtected Hands</v>
      </c>
      <c r="B38" s="127" t="s">
        <v>496</v>
      </c>
      <c r="C38" s="127" t="s">
        <v>501</v>
      </c>
      <c r="D38" s="127" t="s">
        <v>498</v>
      </c>
      <c r="E38" s="127" t="s">
        <v>504</v>
      </c>
      <c r="F38" s="127" t="s">
        <v>503</v>
      </c>
      <c r="G38" s="393"/>
      <c r="H38" s="393"/>
      <c r="I38" s="393"/>
      <c r="J38" s="393">
        <v>21</v>
      </c>
      <c r="K38" s="393"/>
      <c r="L38" s="393"/>
      <c r="M38" s="393"/>
      <c r="N38" s="393">
        <v>164</v>
      </c>
      <c r="O38" s="393"/>
      <c r="P38" s="393"/>
      <c r="Q38" s="393"/>
      <c r="R38" s="393">
        <v>1.5</v>
      </c>
      <c r="S38" s="393"/>
      <c r="T38" s="393"/>
      <c r="U38" s="393"/>
      <c r="V38" s="393">
        <v>12</v>
      </c>
    </row>
    <row r="39" spans="1:22" s="59" customFormat="1">
      <c r="A39" s="59" t="str">
        <f t="shared" si="0"/>
        <v>IndoorSoluble concentrates, emulsifiable concentrate, etc.Upward sprayingManual-Hand heldBody</v>
      </c>
      <c r="B39" s="59" t="s">
        <v>496</v>
      </c>
      <c r="C39" s="59" t="s">
        <v>497</v>
      </c>
      <c r="D39" s="59" t="s">
        <v>505</v>
      </c>
      <c r="E39" s="59" t="s">
        <v>499</v>
      </c>
      <c r="F39" s="59" t="s">
        <v>420</v>
      </c>
      <c r="G39" s="393">
        <v>3.04</v>
      </c>
      <c r="H39" s="393">
        <v>0.74</v>
      </c>
      <c r="I39" s="393">
        <v>0.52</v>
      </c>
      <c r="J39" s="393"/>
      <c r="K39" s="393">
        <v>3.87</v>
      </c>
      <c r="L39" s="393">
        <v>0.69</v>
      </c>
      <c r="M39" s="393">
        <v>0.72</v>
      </c>
      <c r="N39" s="393"/>
      <c r="O39" s="393">
        <f>5.59</f>
        <v>5.59</v>
      </c>
      <c r="P39" s="393">
        <v>1</v>
      </c>
      <c r="Q39" s="393"/>
      <c r="R39" s="393"/>
      <c r="S39" s="393">
        <v>6.1</v>
      </c>
      <c r="T39" s="393" t="str">
        <f>opex_indoor95_hm!C$35</f>
        <v>1</v>
      </c>
      <c r="U39" s="393"/>
      <c r="V39" s="393"/>
    </row>
    <row r="40" spans="1:22" s="59" customFormat="1">
      <c r="A40" s="59" t="str">
        <f t="shared" si="0"/>
        <v>IndoorWettable granules, soluble granulesUpward sprayingManual-Hand heldBody</v>
      </c>
      <c r="B40" s="59" t="s">
        <v>496</v>
      </c>
      <c r="C40" s="59" t="s">
        <v>500</v>
      </c>
      <c r="D40" s="59" t="s">
        <v>505</v>
      </c>
      <c r="E40" s="59" t="s">
        <v>499</v>
      </c>
      <c r="F40" s="59" t="s">
        <v>420</v>
      </c>
      <c r="G40" s="393">
        <v>3.04</v>
      </c>
      <c r="H40" s="393">
        <v>0.74</v>
      </c>
      <c r="I40" s="393"/>
      <c r="J40" s="393"/>
      <c r="K40" s="393">
        <v>3.87</v>
      </c>
      <c r="L40" s="393">
        <v>0.69</v>
      </c>
      <c r="M40" s="393"/>
      <c r="N40" s="393"/>
      <c r="O40" s="393">
        <f>5.59</f>
        <v>5.59</v>
      </c>
      <c r="P40" s="393">
        <v>1</v>
      </c>
      <c r="Q40" s="393"/>
      <c r="R40" s="393"/>
      <c r="S40" s="393">
        <v>6.1</v>
      </c>
      <c r="T40" s="393" t="str">
        <f>opex_indoor95_hm!C$35</f>
        <v>1</v>
      </c>
      <c r="U40" s="393"/>
      <c r="V40" s="393"/>
    </row>
    <row r="41" spans="1:22" s="59" customFormat="1">
      <c r="A41" s="59" t="str">
        <f t="shared" si="0"/>
        <v>IndoorWettable powder, soluble powderUpward sprayingManual-Hand heldBody</v>
      </c>
      <c r="B41" s="59" t="s">
        <v>496</v>
      </c>
      <c r="C41" s="59" t="s">
        <v>501</v>
      </c>
      <c r="D41" s="59" t="s">
        <v>505</v>
      </c>
      <c r="E41" s="59" t="s">
        <v>499</v>
      </c>
      <c r="F41" s="59" t="s">
        <v>420</v>
      </c>
      <c r="G41" s="393">
        <v>3.04</v>
      </c>
      <c r="H41" s="393">
        <v>0.74</v>
      </c>
      <c r="I41" s="393">
        <v>1.85</v>
      </c>
      <c r="J41" s="393"/>
      <c r="K41" s="393">
        <v>3.87</v>
      </c>
      <c r="L41" s="393">
        <v>0.69</v>
      </c>
      <c r="M41" s="393">
        <v>1.29</v>
      </c>
      <c r="N41" s="393"/>
      <c r="O41" s="393">
        <f>5.59</f>
        <v>5.59</v>
      </c>
      <c r="P41" s="393">
        <v>1</v>
      </c>
      <c r="Q41" s="393"/>
      <c r="R41" s="393"/>
      <c r="S41" s="393">
        <v>6.1</v>
      </c>
      <c r="T41" s="393" t="str">
        <f>opex_indoor95_hm!C$35</f>
        <v>1</v>
      </c>
      <c r="U41" s="393"/>
      <c r="V41" s="393"/>
    </row>
    <row r="42" spans="1:22" s="59" customFormat="1">
      <c r="A42" s="59" t="str">
        <f t="shared" si="0"/>
        <v>IndoorSoluble concentrates, emulsifiable concentrate, etc.Upward sprayingManual-Hand heldHands</v>
      </c>
      <c r="B42" s="59" t="s">
        <v>496</v>
      </c>
      <c r="C42" s="59" t="s">
        <v>497</v>
      </c>
      <c r="D42" s="59" t="s">
        <v>505</v>
      </c>
      <c r="E42" s="59" t="s">
        <v>499</v>
      </c>
      <c r="F42" s="59" t="s">
        <v>418</v>
      </c>
      <c r="G42" s="393">
        <v>3.27</v>
      </c>
      <c r="H42" s="393">
        <v>0.64</v>
      </c>
      <c r="I42" s="393">
        <v>0.64</v>
      </c>
      <c r="J42" s="393"/>
      <c r="K42" s="393">
        <v>3.74</v>
      </c>
      <c r="L42" s="393">
        <v>0.69</v>
      </c>
      <c r="M42" s="393">
        <v>0.71</v>
      </c>
      <c r="N42" s="393"/>
      <c r="O42" s="393" t="str">
        <f>opex_indoor75_hm!B$33</f>
        <v>4.4</v>
      </c>
      <c r="P42" s="393" t="str">
        <f>opex_indoor75_hm!C$33</f>
        <v>0.83</v>
      </c>
      <c r="Q42" s="393"/>
      <c r="R42" s="393"/>
      <c r="S42" s="393" t="str">
        <f>opex_indoor95_hm!B$33</f>
        <v>4.81</v>
      </c>
      <c r="T42" s="393" t="str">
        <f>opex_indoor95_hm!C$33</f>
        <v>0.84</v>
      </c>
      <c r="U42" s="393"/>
      <c r="V42" s="393"/>
    </row>
    <row r="43" spans="1:22" s="59" customFormat="1">
      <c r="A43" s="59" t="str">
        <f t="shared" si="0"/>
        <v>IndoorWettable granules, soluble granulesUpward sprayingManual-Hand heldHands</v>
      </c>
      <c r="B43" s="59" t="s">
        <v>496</v>
      </c>
      <c r="C43" s="59" t="s">
        <v>500</v>
      </c>
      <c r="D43" s="59" t="s">
        <v>505</v>
      </c>
      <c r="E43" s="59" t="s">
        <v>499</v>
      </c>
      <c r="F43" s="59" t="s">
        <v>418</v>
      </c>
      <c r="G43" s="393">
        <v>3.27</v>
      </c>
      <c r="H43" s="393">
        <v>0.64</v>
      </c>
      <c r="I43" s="393">
        <v>0</v>
      </c>
      <c r="J43" s="393"/>
      <c r="K43" s="393">
        <v>3.74</v>
      </c>
      <c r="L43" s="393">
        <v>0.69</v>
      </c>
      <c r="M43" s="393">
        <v>0</v>
      </c>
      <c r="N43" s="393"/>
      <c r="O43" s="393" t="str">
        <f>opex_indoor75_hm!B$33</f>
        <v>4.4</v>
      </c>
      <c r="P43" s="393" t="str">
        <f>opex_indoor75_hm!C$33</f>
        <v>0.83</v>
      </c>
      <c r="Q43" s="393"/>
      <c r="R43" s="393"/>
      <c r="S43" s="393" t="str">
        <f>opex_indoor95_hm!B$33</f>
        <v>4.81</v>
      </c>
      <c r="T43" s="393" t="str">
        <f>opex_indoor95_hm!C$33</f>
        <v>0.84</v>
      </c>
      <c r="U43" s="393"/>
      <c r="V43" s="393"/>
    </row>
    <row r="44" spans="1:22" s="59" customFormat="1">
      <c r="A44" s="59" t="str">
        <f t="shared" si="0"/>
        <v>IndoorWettable powder, soluble powderUpward sprayingManual-Hand heldHands</v>
      </c>
      <c r="B44" s="59" t="s">
        <v>496</v>
      </c>
      <c r="C44" s="59" t="s">
        <v>501</v>
      </c>
      <c r="D44" s="59" t="s">
        <v>505</v>
      </c>
      <c r="E44" s="59" t="s">
        <v>499</v>
      </c>
      <c r="F44" s="59" t="s">
        <v>418</v>
      </c>
      <c r="G44" s="393">
        <v>3.27</v>
      </c>
      <c r="H44" s="393">
        <v>0.64</v>
      </c>
      <c r="I44" s="393">
        <v>1.28</v>
      </c>
      <c r="J44" s="393"/>
      <c r="K44" s="393">
        <v>3.74</v>
      </c>
      <c r="L44" s="393">
        <v>0.69</v>
      </c>
      <c r="M44" s="393">
        <v>1.21</v>
      </c>
      <c r="N44" s="393"/>
      <c r="O44" s="393" t="str">
        <f>opex_indoor75_hm!B$33</f>
        <v>4.4</v>
      </c>
      <c r="P44" s="393" t="str">
        <f>opex_indoor75_hm!C$33</f>
        <v>0.83</v>
      </c>
      <c r="Q44" s="393"/>
      <c r="R44" s="393"/>
      <c r="S44" s="393" t="str">
        <f>opex_indoor95_hm!B$33</f>
        <v>4.81</v>
      </c>
      <c r="T44" s="393" t="str">
        <f>opex_indoor95_hm!C$33</f>
        <v>0.84</v>
      </c>
      <c r="U44" s="393"/>
      <c r="V44" s="393"/>
    </row>
    <row r="45" spans="1:22" s="59" customFormat="1">
      <c r="A45" s="59" t="str">
        <f t="shared" si="0"/>
        <v>IndoorSoluble concentrates, emulsifiable concentrate, etc.Upward sprayingManual-Hand heldHead</v>
      </c>
      <c r="B45" s="59" t="s">
        <v>496</v>
      </c>
      <c r="C45" s="59" t="s">
        <v>497</v>
      </c>
      <c r="D45" s="59" t="s">
        <v>505</v>
      </c>
      <c r="E45" s="59" t="s">
        <v>499</v>
      </c>
      <c r="F45" s="59" t="s">
        <v>104</v>
      </c>
      <c r="G45" s="393">
        <v>1.46</v>
      </c>
      <c r="H45" s="393">
        <v>1</v>
      </c>
      <c r="I45" s="393">
        <f>0.34</f>
        <v>0.34</v>
      </c>
      <c r="J45" s="393"/>
      <c r="K45" s="393">
        <v>2.19</v>
      </c>
      <c r="L45" s="393">
        <v>1</v>
      </c>
      <c r="M45" s="393">
        <v>0.39</v>
      </c>
      <c r="N45" s="393"/>
      <c r="O45" s="393">
        <v>2.7</v>
      </c>
      <c r="P45" s="393">
        <v>0.18</v>
      </c>
      <c r="Q45" s="393"/>
      <c r="R45" s="393"/>
      <c r="S45" s="393">
        <v>3.1</v>
      </c>
      <c r="T45" s="393">
        <v>0.33</v>
      </c>
      <c r="U45" s="393"/>
      <c r="V45" s="393"/>
    </row>
    <row r="46" spans="1:22" s="59" customFormat="1">
      <c r="A46" s="59" t="str">
        <f t="shared" si="0"/>
        <v>IndoorWettable granules, soluble granulesUpward sprayingManual-Hand heldHead</v>
      </c>
      <c r="B46" s="59" t="s">
        <v>496</v>
      </c>
      <c r="C46" s="59" t="s">
        <v>500</v>
      </c>
      <c r="D46" s="59" t="s">
        <v>505</v>
      </c>
      <c r="E46" s="59" t="s">
        <v>499</v>
      </c>
      <c r="F46" s="59" t="s">
        <v>104</v>
      </c>
      <c r="G46" s="393">
        <v>1.46</v>
      </c>
      <c r="H46" s="393">
        <v>1</v>
      </c>
      <c r="I46" s="393">
        <v>0</v>
      </c>
      <c r="J46" s="393"/>
      <c r="K46" s="393">
        <v>2.19</v>
      </c>
      <c r="L46" s="393">
        <v>1</v>
      </c>
      <c r="M46" s="393">
        <v>0</v>
      </c>
      <c r="N46" s="393"/>
      <c r="O46" s="393">
        <v>2.7</v>
      </c>
      <c r="P46" s="393">
        <v>0.18</v>
      </c>
      <c r="Q46" s="393"/>
      <c r="R46" s="393"/>
      <c r="S46" s="393">
        <v>3.1</v>
      </c>
      <c r="T46" s="393">
        <v>0.33</v>
      </c>
      <c r="U46" s="393"/>
      <c r="V46" s="393"/>
    </row>
    <row r="47" spans="1:22" s="59" customFormat="1">
      <c r="A47" s="59" t="str">
        <f t="shared" si="0"/>
        <v>IndoorWettable powder, soluble powderUpward sprayingManual-Hand heldHead</v>
      </c>
      <c r="B47" s="59" t="s">
        <v>496</v>
      </c>
      <c r="C47" s="59" t="s">
        <v>501</v>
      </c>
      <c r="D47" s="59" t="s">
        <v>505</v>
      </c>
      <c r="E47" s="59" t="s">
        <v>499</v>
      </c>
      <c r="F47" s="59" t="s">
        <v>104</v>
      </c>
      <c r="G47" s="393">
        <v>1.46</v>
      </c>
      <c r="H47" s="393">
        <v>1</v>
      </c>
      <c r="I47" s="393">
        <v>0.7</v>
      </c>
      <c r="J47" s="393"/>
      <c r="K47" s="393">
        <v>2.19</v>
      </c>
      <c r="L47" s="393">
        <v>1</v>
      </c>
      <c r="M47" s="393">
        <v>0.11</v>
      </c>
      <c r="N47" s="393"/>
      <c r="O47" s="393">
        <v>2.7</v>
      </c>
      <c r="P47" s="393">
        <v>0.18</v>
      </c>
      <c r="Q47" s="393"/>
      <c r="R47" s="393"/>
      <c r="S47" s="393">
        <v>3.1</v>
      </c>
      <c r="T47" s="393">
        <v>0.33</v>
      </c>
      <c r="U47" s="393"/>
      <c r="V47" s="393"/>
    </row>
    <row r="48" spans="1:22" s="59" customFormat="1">
      <c r="A48" s="59" t="str">
        <f t="shared" si="0"/>
        <v>IndoorSoluble concentrates, emulsifiable concentrate, etc.Upward sprayingManual-Hand heldInhalation</v>
      </c>
      <c r="B48" s="124" t="s">
        <v>496</v>
      </c>
      <c r="C48" s="124" t="s">
        <v>497</v>
      </c>
      <c r="D48" s="124" t="s">
        <v>505</v>
      </c>
      <c r="E48" s="124" t="s">
        <v>499</v>
      </c>
      <c r="F48" s="124" t="s">
        <v>109</v>
      </c>
      <c r="G48" s="393">
        <v>1.38</v>
      </c>
      <c r="H48" s="393">
        <v>0.38</v>
      </c>
      <c r="I48" s="393">
        <v>-0.87</v>
      </c>
      <c r="J48" s="393"/>
      <c r="K48" s="393">
        <v>1.81</v>
      </c>
      <c r="L48" s="393">
        <v>0.49</v>
      </c>
      <c r="M48" s="393">
        <v>-0.92</v>
      </c>
      <c r="N48" s="393"/>
      <c r="O48" s="393" t="str">
        <f>opex_indoor75_hm!B$38</f>
        <v>2.69</v>
      </c>
      <c r="P48" s="393" t="str">
        <f>opex_indoor75_hm!C$38</f>
        <v>1</v>
      </c>
      <c r="Q48" s="393"/>
      <c r="R48" s="393"/>
      <c r="S48" s="393" t="str">
        <f>opex_indoor95_hm!B$38</f>
        <v>2.82</v>
      </c>
      <c r="T48" s="393" t="str">
        <f>opex_indoor95_hm!C$38</f>
        <v>1</v>
      </c>
      <c r="U48" s="393"/>
      <c r="V48" s="393"/>
    </row>
    <row r="49" spans="1:22" s="59" customFormat="1">
      <c r="A49" s="59" t="str">
        <f t="shared" si="0"/>
        <v>IndoorWettable granules, soluble granulesUpward sprayingManual-Hand heldInhalation</v>
      </c>
      <c r="B49" s="124" t="s">
        <v>496</v>
      </c>
      <c r="C49" s="124" t="s">
        <v>500</v>
      </c>
      <c r="D49" s="124" t="s">
        <v>505</v>
      </c>
      <c r="E49" s="124" t="s">
        <v>499</v>
      </c>
      <c r="F49" s="124" t="s">
        <v>109</v>
      </c>
      <c r="G49" s="393">
        <v>1.38</v>
      </c>
      <c r="H49" s="393">
        <v>0.38</v>
      </c>
      <c r="I49" s="393"/>
      <c r="J49" s="393"/>
      <c r="K49" s="393">
        <v>1.81</v>
      </c>
      <c r="L49" s="393">
        <v>0.49</v>
      </c>
      <c r="M49" s="393"/>
      <c r="N49" s="393"/>
      <c r="O49" s="393" t="str">
        <f>opex_indoor75_hm!B$38</f>
        <v>2.69</v>
      </c>
      <c r="P49" s="393" t="str">
        <f>opex_indoor75_hm!C$38</f>
        <v>1</v>
      </c>
      <c r="Q49" s="393"/>
      <c r="R49" s="393"/>
      <c r="S49" s="393" t="str">
        <f>opex_indoor95_hm!B$38</f>
        <v>2.82</v>
      </c>
      <c r="T49" s="393" t="str">
        <f>opex_indoor95_hm!C$38</f>
        <v>1</v>
      </c>
      <c r="U49" s="393"/>
      <c r="V49" s="393"/>
    </row>
    <row r="50" spans="1:22" s="59" customFormat="1" ht="12.75" customHeight="1">
      <c r="A50" s="59" t="str">
        <f t="shared" si="0"/>
        <v>IndoorWettable powder, soluble powderUpward sprayingManual-Hand heldInhalation</v>
      </c>
      <c r="B50" s="124" t="s">
        <v>496</v>
      </c>
      <c r="C50" s="124" t="s">
        <v>501</v>
      </c>
      <c r="D50" s="124" t="s">
        <v>505</v>
      </c>
      <c r="E50" s="124" t="s">
        <v>499</v>
      </c>
      <c r="F50" s="124" t="s">
        <v>109</v>
      </c>
      <c r="G50" s="393">
        <v>1.38</v>
      </c>
      <c r="H50" s="393">
        <v>0.38</v>
      </c>
      <c r="I50" s="393">
        <v>1.96</v>
      </c>
      <c r="J50" s="393"/>
      <c r="K50" s="393">
        <v>1.81</v>
      </c>
      <c r="L50" s="393">
        <v>0.49</v>
      </c>
      <c r="M50" s="393">
        <v>1.54</v>
      </c>
      <c r="N50" s="393"/>
      <c r="O50" s="393">
        <v>2.69</v>
      </c>
      <c r="P50" s="393" t="str">
        <f>opex_indoor75_hm!C$38</f>
        <v>1</v>
      </c>
      <c r="Q50" s="393"/>
      <c r="R50" s="393"/>
      <c r="S50" s="393" t="str">
        <f>opex_indoor95_hm!B$38</f>
        <v>2.82</v>
      </c>
      <c r="T50" s="393" t="str">
        <f>opex_indoor95_hm!C$38</f>
        <v>1</v>
      </c>
      <c r="U50" s="393"/>
      <c r="V50" s="393"/>
    </row>
    <row r="51" spans="1:22" s="59" customFormat="1">
      <c r="A51" s="59" t="str">
        <f t="shared" si="0"/>
        <v>IndoorSoluble concentrates, emulsifiable concentrate, etc.Upward sprayingManual-Hand heldProtected Body</v>
      </c>
      <c r="B51" s="127" t="s">
        <v>496</v>
      </c>
      <c r="C51" s="127" t="s">
        <v>497</v>
      </c>
      <c r="D51" s="127" t="s">
        <v>505</v>
      </c>
      <c r="E51" s="127" t="s">
        <v>499</v>
      </c>
      <c r="F51" s="127" t="s">
        <v>502</v>
      </c>
      <c r="G51" s="393">
        <v>1.58</v>
      </c>
      <c r="H51" s="393">
        <v>0.62</v>
      </c>
      <c r="I51" s="393">
        <v>0.12</v>
      </c>
      <c r="J51" s="393"/>
      <c r="K51" s="393">
        <v>2.09</v>
      </c>
      <c r="L51" s="393">
        <v>0.78</v>
      </c>
      <c r="M51" s="393">
        <v>0.44</v>
      </c>
      <c r="N51" s="393"/>
      <c r="O51" s="393">
        <v>4.1900000000000004</v>
      </c>
      <c r="P51" s="393">
        <v>1</v>
      </c>
      <c r="Q51" s="393"/>
      <c r="R51" s="393"/>
      <c r="S51" s="393">
        <v>5.07</v>
      </c>
      <c r="T51" s="393">
        <v>1</v>
      </c>
      <c r="U51" s="393">
        <f>IF(I_PPE_appl="Certified protective coverall",-0.64,IF(I_PPE_appl="Rain suit &amp; trousers",-2.2,0))</f>
        <v>0</v>
      </c>
      <c r="V51" s="393"/>
    </row>
    <row r="52" spans="1:22" s="59" customFormat="1">
      <c r="A52" s="59" t="str">
        <f t="shared" si="0"/>
        <v>IndoorWettable granules, soluble granulesUpward sprayingManual-Hand heldProtected Body</v>
      </c>
      <c r="B52" s="127" t="s">
        <v>496</v>
      </c>
      <c r="C52" s="127" t="s">
        <v>500</v>
      </c>
      <c r="D52" s="127" t="s">
        <v>505</v>
      </c>
      <c r="E52" s="127" t="s">
        <v>499</v>
      </c>
      <c r="F52" s="127" t="s">
        <v>502</v>
      </c>
      <c r="G52" s="393">
        <v>1.58</v>
      </c>
      <c r="H52" s="393">
        <v>0.62</v>
      </c>
      <c r="I52" s="393"/>
      <c r="J52" s="393"/>
      <c r="K52" s="393">
        <v>2.09</v>
      </c>
      <c r="L52" s="393">
        <v>0.78</v>
      </c>
      <c r="M52" s="393"/>
      <c r="N52" s="393"/>
      <c r="O52" s="393">
        <v>4.1900000000000004</v>
      </c>
      <c r="P52" s="393">
        <v>1</v>
      </c>
      <c r="Q52" s="393"/>
      <c r="R52" s="393"/>
      <c r="S52" s="393">
        <v>5.07</v>
      </c>
      <c r="T52" s="393">
        <v>1</v>
      </c>
      <c r="U52" s="393">
        <f>IF(I_PPE_appl="Certified protective coverall",-0.64,IF(I_PPE_appl="Rain suit &amp; trousers",-2.2,0))</f>
        <v>0</v>
      </c>
      <c r="V52" s="393"/>
    </row>
    <row r="53" spans="1:22" s="59" customFormat="1">
      <c r="A53" s="59" t="str">
        <f t="shared" si="0"/>
        <v>IndoorWettable powder, soluble powderUpward sprayingManual-Hand heldProtected Body</v>
      </c>
      <c r="B53" s="127" t="s">
        <v>496</v>
      </c>
      <c r="C53" s="127" t="s">
        <v>501</v>
      </c>
      <c r="D53" s="127" t="s">
        <v>505</v>
      </c>
      <c r="E53" s="127" t="s">
        <v>499</v>
      </c>
      <c r="F53" s="127" t="s">
        <v>502</v>
      </c>
      <c r="G53" s="393">
        <v>1.58</v>
      </c>
      <c r="H53" s="393">
        <v>0.62</v>
      </c>
      <c r="I53" s="393">
        <v>1.84</v>
      </c>
      <c r="J53" s="393"/>
      <c r="K53" s="393">
        <v>2.09</v>
      </c>
      <c r="L53" s="393">
        <v>0.78</v>
      </c>
      <c r="M53" s="393">
        <v>1.58</v>
      </c>
      <c r="N53" s="393"/>
      <c r="O53" s="393">
        <v>4.1900000000000004</v>
      </c>
      <c r="P53" s="393">
        <v>1</v>
      </c>
      <c r="Q53" s="393"/>
      <c r="R53" s="393"/>
      <c r="S53" s="393">
        <v>5.07</v>
      </c>
      <c r="T53" s="393">
        <v>1</v>
      </c>
      <c r="U53" s="393">
        <f>IF(I_PPE_appl="Certified protective coverall",-0.64,IF(I_PPE_appl="Rain suit &amp; trousers",-2.2,0))</f>
        <v>0</v>
      </c>
      <c r="V53" s="393"/>
    </row>
    <row r="54" spans="1:22" s="59" customFormat="1">
      <c r="A54" s="59" t="str">
        <f t="shared" si="0"/>
        <v>IndoorSoluble concentrates, emulsifiable concentrate, etc.Upward sprayingManual-Hand heldProtected Hands</v>
      </c>
      <c r="B54" s="59" t="s">
        <v>496</v>
      </c>
      <c r="C54" s="59" t="s">
        <v>497</v>
      </c>
      <c r="D54" s="59" t="s">
        <v>505</v>
      </c>
      <c r="E54" s="59" t="s">
        <v>499</v>
      </c>
      <c r="F54" s="59" t="s">
        <v>503</v>
      </c>
      <c r="G54" s="393">
        <v>1.46</v>
      </c>
      <c r="H54" s="393">
        <v>0.46</v>
      </c>
      <c r="I54" s="393">
        <v>0.32</v>
      </c>
      <c r="J54" s="393"/>
      <c r="K54" s="393">
        <v>2.29</v>
      </c>
      <c r="L54" s="393">
        <v>0.53</v>
      </c>
      <c r="M54" s="393">
        <v>0.83</v>
      </c>
      <c r="N54" s="393"/>
      <c r="O54" s="393">
        <v>1.71</v>
      </c>
      <c r="P54" s="393">
        <v>1</v>
      </c>
      <c r="Q54" s="393"/>
      <c r="R54" s="393"/>
      <c r="S54" s="393">
        <v>2.36</v>
      </c>
      <c r="T54" s="393" t="str">
        <f>opex_indoor95_hm!C$34</f>
        <v>0.67</v>
      </c>
      <c r="U54" s="393"/>
      <c r="V54" s="393"/>
    </row>
    <row r="55" spans="1:22" s="59" customFormat="1">
      <c r="A55" s="59" t="str">
        <f t="shared" si="0"/>
        <v>IndoorWettable granules, soluble granulesUpward sprayingManual-Hand heldProtected Hands</v>
      </c>
      <c r="B55" s="127" t="s">
        <v>496</v>
      </c>
      <c r="C55" s="127" t="s">
        <v>500</v>
      </c>
      <c r="D55" s="127" t="s">
        <v>505</v>
      </c>
      <c r="E55" s="127" t="s">
        <v>499</v>
      </c>
      <c r="F55" s="127" t="s">
        <v>503</v>
      </c>
      <c r="G55" s="393">
        <v>1.46</v>
      </c>
      <c r="H55" s="393">
        <v>0.46</v>
      </c>
      <c r="I55" s="393"/>
      <c r="J55" s="393"/>
      <c r="K55" s="393">
        <v>2.29</v>
      </c>
      <c r="L55" s="393">
        <v>0.53</v>
      </c>
      <c r="M55" s="393"/>
      <c r="N55" s="393"/>
      <c r="O55" s="393">
        <v>1.71</v>
      </c>
      <c r="P55" s="393" t="str">
        <f>opex_indoor75_hm!C$34</f>
        <v>1</v>
      </c>
      <c r="Q55" s="393"/>
      <c r="R55" s="393"/>
      <c r="S55" s="393" t="str">
        <f>opex_indoor95_hm!B$34</f>
        <v>2.36</v>
      </c>
      <c r="T55" s="393" t="str">
        <f>opex_indoor95_hm!C$34</f>
        <v>0.67</v>
      </c>
      <c r="U55" s="393"/>
      <c r="V55" s="393"/>
    </row>
    <row r="56" spans="1:22" s="59" customFormat="1">
      <c r="A56" s="59" t="str">
        <f t="shared" si="0"/>
        <v>IndoorWettable powder, soluble powderUpward sprayingManual-Hand heldProtected Hands</v>
      </c>
      <c r="B56" s="127" t="s">
        <v>496</v>
      </c>
      <c r="C56" s="127" t="s">
        <v>501</v>
      </c>
      <c r="D56" s="127" t="s">
        <v>505</v>
      </c>
      <c r="E56" s="127" t="s">
        <v>499</v>
      </c>
      <c r="F56" s="127" t="s">
        <v>503</v>
      </c>
      <c r="G56" s="393">
        <v>1.46</v>
      </c>
      <c r="H56" s="393">
        <v>0.46</v>
      </c>
      <c r="I56" s="393">
        <v>1.66</v>
      </c>
      <c r="J56" s="393"/>
      <c r="K56" s="393">
        <v>2.29</v>
      </c>
      <c r="L56" s="393">
        <v>0.53</v>
      </c>
      <c r="M56" s="393">
        <v>1.39</v>
      </c>
      <c r="N56" s="393"/>
      <c r="O56" s="393">
        <v>1.71</v>
      </c>
      <c r="P56" s="393" t="str">
        <f>opex_indoor75_hm!C$34</f>
        <v>1</v>
      </c>
      <c r="Q56" s="393"/>
      <c r="R56" s="393"/>
      <c r="S56" s="393" t="str">
        <f>opex_indoor95_hm!B$34</f>
        <v>2.36</v>
      </c>
      <c r="T56" s="393" t="str">
        <f>opex_indoor95_hm!C$34</f>
        <v>0.67</v>
      </c>
      <c r="U56" s="393"/>
      <c r="V56" s="393"/>
    </row>
    <row r="57" spans="1:22" s="59" customFormat="1">
      <c r="A57" s="59" t="str">
        <f t="shared" si="0"/>
        <v>IndoorSoluble concentrates, emulsifiable concentrate, etc.Upward sprayingManual-KnapsackBody</v>
      </c>
      <c r="B57" s="59" t="s">
        <v>496</v>
      </c>
      <c r="C57" s="59" t="s">
        <v>497</v>
      </c>
      <c r="D57" s="59" t="s">
        <v>505</v>
      </c>
      <c r="E57" s="59" t="s">
        <v>504</v>
      </c>
      <c r="F57" s="59" t="s">
        <v>420</v>
      </c>
      <c r="G57" s="393"/>
      <c r="H57" s="393"/>
      <c r="I57" s="393"/>
      <c r="J57" s="393">
        <v>803</v>
      </c>
      <c r="K57" s="393"/>
      <c r="L57" s="393"/>
      <c r="M57" s="393"/>
      <c r="N57" s="393">
        <v>2787</v>
      </c>
      <c r="O57" s="393">
        <f>5.59</f>
        <v>5.59</v>
      </c>
      <c r="P57" s="393">
        <v>1</v>
      </c>
      <c r="Q57" s="393"/>
      <c r="R57" s="393"/>
      <c r="S57" s="393">
        <v>6.1</v>
      </c>
      <c r="T57" s="393" t="str">
        <f>opex_indoor95_hm!C$35</f>
        <v>1</v>
      </c>
      <c r="U57" s="393"/>
      <c r="V57" s="393"/>
    </row>
    <row r="58" spans="1:22" s="59" customFormat="1">
      <c r="A58" s="59" t="str">
        <f t="shared" si="0"/>
        <v>IndoorWettable granules, soluble granulesUpward sprayingManual-KnapsackBody</v>
      </c>
      <c r="B58" s="59" t="s">
        <v>496</v>
      </c>
      <c r="C58" s="59" t="s">
        <v>500</v>
      </c>
      <c r="D58" s="59" t="s">
        <v>505</v>
      </c>
      <c r="E58" s="59" t="s">
        <v>504</v>
      </c>
      <c r="F58" s="59" t="s">
        <v>420</v>
      </c>
      <c r="G58" s="393"/>
      <c r="H58" s="393"/>
      <c r="I58" s="393"/>
      <c r="J58" s="393">
        <v>803</v>
      </c>
      <c r="K58" s="393"/>
      <c r="L58" s="393"/>
      <c r="M58" s="393"/>
      <c r="N58" s="393">
        <v>2787</v>
      </c>
      <c r="O58" s="393">
        <f>5.59</f>
        <v>5.59</v>
      </c>
      <c r="P58" s="393">
        <v>1</v>
      </c>
      <c r="Q58" s="393"/>
      <c r="R58" s="393"/>
      <c r="S58" s="393">
        <v>6.1</v>
      </c>
      <c r="T58" s="393" t="str">
        <f>opex_indoor95_hm!C$35</f>
        <v>1</v>
      </c>
      <c r="U58" s="393"/>
      <c r="V58" s="393"/>
    </row>
    <row r="59" spans="1:22" s="59" customFormat="1">
      <c r="A59" s="59" t="str">
        <f t="shared" si="0"/>
        <v>IndoorWettable powder, soluble powderUpward sprayingManual-KnapsackBody</v>
      </c>
      <c r="B59" s="59" t="s">
        <v>496</v>
      </c>
      <c r="C59" s="59" t="s">
        <v>501</v>
      </c>
      <c r="D59" s="59" t="s">
        <v>505</v>
      </c>
      <c r="E59" s="59" t="s">
        <v>504</v>
      </c>
      <c r="F59" s="59" t="s">
        <v>420</v>
      </c>
      <c r="G59" s="393"/>
      <c r="H59" s="393"/>
      <c r="I59" s="393"/>
      <c r="J59" s="393">
        <v>803</v>
      </c>
      <c r="K59" s="393"/>
      <c r="L59" s="393"/>
      <c r="M59" s="393"/>
      <c r="N59" s="393">
        <v>2787</v>
      </c>
      <c r="O59" s="393">
        <f>5.59</f>
        <v>5.59</v>
      </c>
      <c r="P59" s="393">
        <v>1</v>
      </c>
      <c r="Q59" s="393"/>
      <c r="R59" s="393"/>
      <c r="S59" s="393">
        <v>6.1</v>
      </c>
      <c r="T59" s="393" t="str">
        <f>opex_indoor95_hm!C$35</f>
        <v>1</v>
      </c>
      <c r="U59" s="393"/>
      <c r="V59" s="393"/>
    </row>
    <row r="60" spans="1:22" s="59" customFormat="1">
      <c r="A60" s="59" t="str">
        <f t="shared" si="0"/>
        <v>IndoorSoluble concentrates, emulsifiable concentrate, etc.Upward sprayingManual-KnapsackHands</v>
      </c>
      <c r="B60" s="59" t="s">
        <v>496</v>
      </c>
      <c r="C60" s="59" t="s">
        <v>497</v>
      </c>
      <c r="D60" s="59" t="s">
        <v>505</v>
      </c>
      <c r="E60" s="59" t="s">
        <v>504</v>
      </c>
      <c r="F60" s="59" t="s">
        <v>418</v>
      </c>
      <c r="G60" s="393"/>
      <c r="H60" s="393"/>
      <c r="I60" s="393"/>
      <c r="J60" s="393">
        <v>9497</v>
      </c>
      <c r="K60" s="393"/>
      <c r="L60" s="393"/>
      <c r="M60" s="393"/>
      <c r="N60" s="393">
        <v>25490</v>
      </c>
      <c r="O60" s="393" t="str">
        <f>opex_indoor75_hm!B$33</f>
        <v>4.4</v>
      </c>
      <c r="P60" s="393" t="str">
        <f>opex_indoor75_hm!C$33</f>
        <v>0.83</v>
      </c>
      <c r="Q60" s="393"/>
      <c r="R60" s="393"/>
      <c r="S60" s="393" t="str">
        <f>opex_indoor95_hm!B$33</f>
        <v>4.81</v>
      </c>
      <c r="T60" s="393" t="str">
        <f>opex_indoor95_hm!C$33</f>
        <v>0.84</v>
      </c>
      <c r="U60" s="393"/>
      <c r="V60" s="393"/>
    </row>
    <row r="61" spans="1:22" s="59" customFormat="1">
      <c r="A61" s="59" t="str">
        <f t="shared" si="0"/>
        <v>IndoorWettable granules, soluble granulesUpward sprayingManual-KnapsackHands</v>
      </c>
      <c r="B61" s="59" t="s">
        <v>496</v>
      </c>
      <c r="C61" s="59" t="s">
        <v>500</v>
      </c>
      <c r="D61" s="59" t="s">
        <v>505</v>
      </c>
      <c r="E61" s="59" t="s">
        <v>504</v>
      </c>
      <c r="F61" s="59" t="s">
        <v>418</v>
      </c>
      <c r="G61" s="393"/>
      <c r="H61" s="393"/>
      <c r="I61" s="393"/>
      <c r="J61" s="393">
        <v>9497</v>
      </c>
      <c r="K61" s="393"/>
      <c r="L61" s="393"/>
      <c r="M61" s="393"/>
      <c r="N61" s="393">
        <v>25490</v>
      </c>
      <c r="O61" s="393" t="str">
        <f>opex_indoor75_hm!B$33</f>
        <v>4.4</v>
      </c>
      <c r="P61" s="393" t="str">
        <f>opex_indoor75_hm!C$33</f>
        <v>0.83</v>
      </c>
      <c r="Q61" s="393"/>
      <c r="R61" s="393"/>
      <c r="S61" s="393" t="str">
        <f>opex_indoor95_hm!B$33</f>
        <v>4.81</v>
      </c>
      <c r="T61" s="393" t="str">
        <f>opex_indoor95_hm!C$33</f>
        <v>0.84</v>
      </c>
      <c r="U61" s="393"/>
      <c r="V61" s="393"/>
    </row>
    <row r="62" spans="1:22" s="59" customFormat="1">
      <c r="A62" s="59" t="str">
        <f t="shared" si="0"/>
        <v>IndoorWettable powder, soluble powderUpward sprayingManual-KnapsackHands</v>
      </c>
      <c r="B62" s="59" t="s">
        <v>496</v>
      </c>
      <c r="C62" s="59" t="s">
        <v>501</v>
      </c>
      <c r="D62" s="59" t="s">
        <v>505</v>
      </c>
      <c r="E62" s="59" t="s">
        <v>504</v>
      </c>
      <c r="F62" s="59" t="s">
        <v>418</v>
      </c>
      <c r="G62" s="393"/>
      <c r="H62" s="393"/>
      <c r="I62" s="393"/>
      <c r="J62" s="393">
        <v>9497</v>
      </c>
      <c r="K62" s="393"/>
      <c r="L62" s="393"/>
      <c r="M62" s="393"/>
      <c r="N62" s="393">
        <v>25490</v>
      </c>
      <c r="O62" s="393" t="str">
        <f>opex_indoor75_hm!B$33</f>
        <v>4.4</v>
      </c>
      <c r="P62" s="393" t="str">
        <f>opex_indoor75_hm!C$33</f>
        <v>0.83</v>
      </c>
      <c r="Q62" s="393"/>
      <c r="R62" s="393"/>
      <c r="S62" s="393" t="str">
        <f>opex_indoor95_hm!B$33</f>
        <v>4.81</v>
      </c>
      <c r="T62" s="393" t="str">
        <f>opex_indoor95_hm!C$33</f>
        <v>0.84</v>
      </c>
      <c r="U62" s="393"/>
      <c r="V62" s="393"/>
    </row>
    <row r="63" spans="1:22" s="59" customFormat="1">
      <c r="A63" s="59" t="str">
        <f t="shared" si="0"/>
        <v>IndoorSoluble concentrates, emulsifiable concentrate, etc.Upward sprayingManual-KnapsackHead</v>
      </c>
      <c r="B63" s="59" t="s">
        <v>496</v>
      </c>
      <c r="C63" s="59" t="s">
        <v>497</v>
      </c>
      <c r="D63" s="59" t="s">
        <v>505</v>
      </c>
      <c r="E63" s="59" t="s">
        <v>504</v>
      </c>
      <c r="F63" s="59" t="s">
        <v>104</v>
      </c>
      <c r="G63" s="393"/>
      <c r="H63" s="393"/>
      <c r="I63" s="393"/>
      <c r="J63" s="393">
        <v>5.5</v>
      </c>
      <c r="K63" s="393"/>
      <c r="L63" s="393"/>
      <c r="M63" s="393"/>
      <c r="N63" s="393">
        <v>11</v>
      </c>
      <c r="O63" s="393">
        <v>2.7</v>
      </c>
      <c r="P63" s="393">
        <v>0.18</v>
      </c>
      <c r="Q63" s="393"/>
      <c r="R63" s="393"/>
      <c r="S63" s="393">
        <v>3.1</v>
      </c>
      <c r="T63" s="393">
        <v>0.33</v>
      </c>
      <c r="U63" s="393"/>
      <c r="V63" s="393"/>
    </row>
    <row r="64" spans="1:22" s="59" customFormat="1">
      <c r="A64" s="59" t="str">
        <f t="shared" si="0"/>
        <v>IndoorWettable granules, soluble granulesUpward sprayingManual-KnapsackHead</v>
      </c>
      <c r="B64" s="59" t="s">
        <v>496</v>
      </c>
      <c r="C64" s="59" t="s">
        <v>500</v>
      </c>
      <c r="D64" s="59" t="s">
        <v>505</v>
      </c>
      <c r="E64" s="59" t="s">
        <v>504</v>
      </c>
      <c r="F64" s="59" t="s">
        <v>104</v>
      </c>
      <c r="G64" s="393"/>
      <c r="H64" s="393"/>
      <c r="I64" s="393"/>
      <c r="J64" s="393">
        <v>5.5</v>
      </c>
      <c r="K64" s="393"/>
      <c r="L64" s="393"/>
      <c r="M64" s="393"/>
      <c r="N64" s="393">
        <v>11</v>
      </c>
      <c r="O64" s="393">
        <v>2.7</v>
      </c>
      <c r="P64" s="393">
        <v>0.18</v>
      </c>
      <c r="Q64" s="393"/>
      <c r="R64" s="393"/>
      <c r="S64" s="393">
        <v>3.1</v>
      </c>
      <c r="T64" s="393">
        <v>0.33</v>
      </c>
      <c r="U64" s="393"/>
      <c r="V64" s="393"/>
    </row>
    <row r="65" spans="1:22" s="59" customFormat="1">
      <c r="A65" s="59" t="str">
        <f t="shared" si="0"/>
        <v>IndoorWettable powder, soluble powderUpward sprayingManual-KnapsackHead</v>
      </c>
      <c r="B65" s="59" t="s">
        <v>496</v>
      </c>
      <c r="C65" s="59" t="s">
        <v>501</v>
      </c>
      <c r="D65" s="59" t="s">
        <v>505</v>
      </c>
      <c r="E65" s="59" t="s">
        <v>504</v>
      </c>
      <c r="F65" s="59" t="s">
        <v>104</v>
      </c>
      <c r="G65" s="393"/>
      <c r="H65" s="393"/>
      <c r="I65" s="393"/>
      <c r="J65" s="393">
        <v>5.5</v>
      </c>
      <c r="K65" s="393"/>
      <c r="L65" s="393"/>
      <c r="M65" s="393"/>
      <c r="N65" s="393">
        <v>11</v>
      </c>
      <c r="O65" s="393">
        <v>2.7</v>
      </c>
      <c r="P65" s="393">
        <v>0.18</v>
      </c>
      <c r="Q65" s="393"/>
      <c r="R65" s="393"/>
      <c r="S65" s="393">
        <v>3.1</v>
      </c>
      <c r="T65" s="393">
        <v>0.33</v>
      </c>
      <c r="U65" s="393"/>
      <c r="V65" s="393"/>
    </row>
    <row r="66" spans="1:22" s="59" customFormat="1">
      <c r="A66" s="59" t="str">
        <f t="shared" si="0"/>
        <v>IndoorSoluble concentrates, emulsifiable concentrate, etc.Upward sprayingManual-KnapsackInhalation</v>
      </c>
      <c r="B66" s="124" t="s">
        <v>496</v>
      </c>
      <c r="C66" s="124" t="s">
        <v>497</v>
      </c>
      <c r="D66" s="124" t="s">
        <v>505</v>
      </c>
      <c r="E66" s="124" t="s">
        <v>504</v>
      </c>
      <c r="F66" s="124" t="s">
        <v>109</v>
      </c>
      <c r="G66" s="393"/>
      <c r="H66" s="393"/>
      <c r="I66" s="393"/>
      <c r="J66" s="393">
        <v>35</v>
      </c>
      <c r="K66" s="393"/>
      <c r="L66" s="393"/>
      <c r="M66" s="393"/>
      <c r="N66" s="393">
        <v>36</v>
      </c>
      <c r="O66" s="393" t="str">
        <f>opex_indoor75_hm!B$38</f>
        <v>2.69</v>
      </c>
      <c r="P66" s="393" t="str">
        <f>opex_indoor75_hm!C$38</f>
        <v>1</v>
      </c>
      <c r="Q66" s="393"/>
      <c r="R66" s="393"/>
      <c r="S66" s="393" t="str">
        <f>opex_indoor95_hm!B$38</f>
        <v>2.82</v>
      </c>
      <c r="T66" s="393" t="str">
        <f>opex_indoor95_hm!C$38</f>
        <v>1</v>
      </c>
      <c r="U66" s="393"/>
      <c r="V66" s="393"/>
    </row>
    <row r="67" spans="1:22" s="59" customFormat="1">
      <c r="A67" s="59" t="str">
        <f t="shared" ref="A67:A130" si="1">B67&amp;C67&amp;D67&amp;E67&amp;F67</f>
        <v>IndoorWettable granules, soluble granulesUpward sprayingManual-KnapsackInhalation</v>
      </c>
      <c r="B67" s="124" t="s">
        <v>496</v>
      </c>
      <c r="C67" s="124" t="s">
        <v>500</v>
      </c>
      <c r="D67" s="124" t="s">
        <v>505</v>
      </c>
      <c r="E67" s="124" t="s">
        <v>504</v>
      </c>
      <c r="F67" s="124" t="s">
        <v>109</v>
      </c>
      <c r="G67" s="393"/>
      <c r="H67" s="393"/>
      <c r="I67" s="393"/>
      <c r="J67" s="393">
        <v>35</v>
      </c>
      <c r="K67" s="393"/>
      <c r="L67" s="393"/>
      <c r="M67" s="393"/>
      <c r="N67" s="393">
        <v>36</v>
      </c>
      <c r="O67" s="393" t="str">
        <f>opex_indoor75_hm!B$38</f>
        <v>2.69</v>
      </c>
      <c r="P67" s="393" t="str">
        <f>opex_indoor75_hm!C$38</f>
        <v>1</v>
      </c>
      <c r="Q67" s="393"/>
      <c r="R67" s="393"/>
      <c r="S67" s="393" t="str">
        <f>opex_indoor95_hm!B$38</f>
        <v>2.82</v>
      </c>
      <c r="T67" s="393" t="str">
        <f>opex_indoor95_hm!C$38</f>
        <v>1</v>
      </c>
      <c r="U67" s="393"/>
      <c r="V67" s="393"/>
    </row>
    <row r="68" spans="1:22" s="59" customFormat="1">
      <c r="A68" s="59" t="str">
        <f t="shared" si="1"/>
        <v>IndoorWettable powder, soluble powderUpward sprayingManual-KnapsackInhalation</v>
      </c>
      <c r="B68" s="124" t="s">
        <v>496</v>
      </c>
      <c r="C68" s="124" t="s">
        <v>501</v>
      </c>
      <c r="D68" s="124" t="s">
        <v>505</v>
      </c>
      <c r="E68" s="124" t="s">
        <v>504</v>
      </c>
      <c r="F68" s="124" t="s">
        <v>109</v>
      </c>
      <c r="G68" s="393"/>
      <c r="H68" s="393"/>
      <c r="I68" s="393"/>
      <c r="J68" s="393">
        <v>35</v>
      </c>
      <c r="K68" s="393"/>
      <c r="L68" s="393"/>
      <c r="M68" s="393"/>
      <c r="N68" s="393">
        <v>36</v>
      </c>
      <c r="O68" s="393" t="str">
        <f>opex_indoor75_hm!B$38</f>
        <v>2.69</v>
      </c>
      <c r="P68" s="393" t="str">
        <f>opex_indoor75_hm!C$38</f>
        <v>1</v>
      </c>
      <c r="Q68" s="393"/>
      <c r="R68" s="393"/>
      <c r="S68" s="393" t="str">
        <f>opex_indoor95_hm!B$38</f>
        <v>2.82</v>
      </c>
      <c r="T68" s="393" t="str">
        <f>opex_indoor95_hm!C$38</f>
        <v>1</v>
      </c>
      <c r="U68" s="393"/>
      <c r="V68" s="393"/>
    </row>
    <row r="69" spans="1:22" s="59" customFormat="1">
      <c r="A69" s="59" t="str">
        <f t="shared" si="1"/>
        <v>IndoorSoluble concentrates, emulsifiable concentrate, etc.Upward sprayingManual-KnapsackProtected Body</v>
      </c>
      <c r="B69" s="127" t="s">
        <v>496</v>
      </c>
      <c r="C69" s="127" t="s">
        <v>497</v>
      </c>
      <c r="D69" s="127" t="s">
        <v>505</v>
      </c>
      <c r="E69" s="127" t="s">
        <v>504</v>
      </c>
      <c r="F69" s="127" t="s">
        <v>502</v>
      </c>
      <c r="G69" s="393"/>
      <c r="H69" s="393"/>
      <c r="I69" s="393"/>
      <c r="J69" s="393">
        <v>25</v>
      </c>
      <c r="K69" s="393"/>
      <c r="L69" s="393"/>
      <c r="M69" s="393"/>
      <c r="N69" s="393">
        <v>103</v>
      </c>
      <c r="O69" s="393">
        <v>4.1900000000000004</v>
      </c>
      <c r="P69" s="393">
        <v>1</v>
      </c>
      <c r="Q69" s="393"/>
      <c r="R69" s="393"/>
      <c r="S69" s="393">
        <v>5.07</v>
      </c>
      <c r="T69" s="393">
        <v>1</v>
      </c>
      <c r="U69" s="393">
        <f>IF(I_PPE_appl="Certified protective coverall",-0.64,IF(I_PPE_appl="Rain suit &amp; trousers",-2.2,0))</f>
        <v>0</v>
      </c>
      <c r="V69" s="393"/>
    </row>
    <row r="70" spans="1:22" s="59" customFormat="1">
      <c r="A70" s="59" t="str">
        <f t="shared" si="1"/>
        <v>IndoorWettable granules, soluble granulesUpward sprayingManual-KnapsackProtected Body</v>
      </c>
      <c r="B70" s="127" t="s">
        <v>496</v>
      </c>
      <c r="C70" s="127" t="s">
        <v>500</v>
      </c>
      <c r="D70" s="127" t="s">
        <v>505</v>
      </c>
      <c r="E70" s="127" t="s">
        <v>504</v>
      </c>
      <c r="F70" s="127" t="s">
        <v>502</v>
      </c>
      <c r="G70" s="393"/>
      <c r="H70" s="393"/>
      <c r="I70" s="393"/>
      <c r="J70" s="393">
        <v>25</v>
      </c>
      <c r="K70" s="393"/>
      <c r="L70" s="393"/>
      <c r="M70" s="393"/>
      <c r="N70" s="393">
        <v>103</v>
      </c>
      <c r="O70" s="393">
        <v>4.1900000000000004</v>
      </c>
      <c r="P70" s="393">
        <v>1</v>
      </c>
      <c r="Q70" s="393"/>
      <c r="R70" s="393"/>
      <c r="S70" s="393">
        <v>5.07</v>
      </c>
      <c r="T70" s="393">
        <v>1</v>
      </c>
      <c r="U70" s="393">
        <f>IF(I_PPE_appl="Certified protective coverall",-0.64,IF(I_PPE_appl="Rain suit &amp; trousers",-2.2,0))</f>
        <v>0</v>
      </c>
      <c r="V70" s="393"/>
    </row>
    <row r="71" spans="1:22" s="59" customFormat="1">
      <c r="A71" s="59" t="str">
        <f t="shared" si="1"/>
        <v>IndoorWettable powder, soluble powderUpward sprayingManual-KnapsackProtected Body</v>
      </c>
      <c r="B71" s="127" t="s">
        <v>496</v>
      </c>
      <c r="C71" s="127" t="s">
        <v>501</v>
      </c>
      <c r="D71" s="127" t="s">
        <v>505</v>
      </c>
      <c r="E71" s="127" t="s">
        <v>504</v>
      </c>
      <c r="F71" s="127" t="s">
        <v>502</v>
      </c>
      <c r="G71" s="393"/>
      <c r="H71" s="393"/>
      <c r="I71" s="393"/>
      <c r="J71" s="393">
        <v>25</v>
      </c>
      <c r="K71" s="393"/>
      <c r="L71" s="393"/>
      <c r="M71" s="393"/>
      <c r="N71" s="393">
        <v>103</v>
      </c>
      <c r="O71" s="393">
        <v>4.1900000000000004</v>
      </c>
      <c r="P71" s="393">
        <v>1</v>
      </c>
      <c r="Q71" s="393"/>
      <c r="R71" s="393"/>
      <c r="S71" s="393">
        <v>5.07</v>
      </c>
      <c r="T71" s="393">
        <v>1</v>
      </c>
      <c r="U71" s="393">
        <f>IF(I_PPE_appl="Certified protective coverall",-0.64,IF(I_PPE_appl="Rain suit &amp; trousers",-2.2,0))</f>
        <v>0</v>
      </c>
      <c r="V71" s="393"/>
    </row>
    <row r="72" spans="1:22" s="59" customFormat="1">
      <c r="A72" s="59" t="str">
        <f t="shared" si="1"/>
        <v>IndoorWettable granules, soluble granulesUpward sprayingManual-KnapsackProtected Hands</v>
      </c>
      <c r="B72" s="127" t="s">
        <v>496</v>
      </c>
      <c r="C72" s="127" t="s">
        <v>500</v>
      </c>
      <c r="D72" s="127" t="s">
        <v>505</v>
      </c>
      <c r="E72" s="127" t="s">
        <v>504</v>
      </c>
      <c r="F72" s="127" t="s">
        <v>503</v>
      </c>
      <c r="G72" s="393"/>
      <c r="H72" s="393"/>
      <c r="I72" s="393"/>
      <c r="J72" s="393">
        <v>21</v>
      </c>
      <c r="K72" s="393"/>
      <c r="L72" s="393"/>
      <c r="M72" s="393"/>
      <c r="N72" s="393">
        <v>164</v>
      </c>
      <c r="O72" s="393" t="str">
        <f>opex_indoor75_hm!B$34</f>
        <v>1.71</v>
      </c>
      <c r="P72" s="393" t="str">
        <f>opex_indoor75_hm!C$34</f>
        <v>1</v>
      </c>
      <c r="Q72" s="393"/>
      <c r="R72" s="393"/>
      <c r="S72" s="393" t="str">
        <f>opex_indoor95_hm!B$34</f>
        <v>2.36</v>
      </c>
      <c r="T72" s="393" t="str">
        <f>opex_indoor95_hm!C$34</f>
        <v>0.67</v>
      </c>
      <c r="U72" s="393"/>
      <c r="V72" s="393"/>
    </row>
    <row r="73" spans="1:22" s="59" customFormat="1">
      <c r="A73" s="59" t="str">
        <f t="shared" si="1"/>
        <v>IndoorWettable powder, soluble powderUpward sprayingManual-KnapsackProtected Hands</v>
      </c>
      <c r="B73" s="127" t="s">
        <v>496</v>
      </c>
      <c r="C73" s="127" t="s">
        <v>501</v>
      </c>
      <c r="D73" s="127" t="s">
        <v>505</v>
      </c>
      <c r="E73" s="127" t="s">
        <v>504</v>
      </c>
      <c r="F73" s="127" t="s">
        <v>503</v>
      </c>
      <c r="G73" s="393"/>
      <c r="H73" s="393"/>
      <c r="I73" s="393"/>
      <c r="J73" s="393">
        <v>21</v>
      </c>
      <c r="K73" s="393"/>
      <c r="L73" s="393"/>
      <c r="M73" s="393"/>
      <c r="N73" s="393">
        <v>164</v>
      </c>
      <c r="O73" s="393" t="str">
        <f>opex_indoor75_hm!B$34</f>
        <v>1.71</v>
      </c>
      <c r="P73" s="393" t="str">
        <f>opex_indoor75_hm!C$34</f>
        <v>1</v>
      </c>
      <c r="Q73" s="393"/>
      <c r="R73" s="393"/>
      <c r="S73" s="393" t="str">
        <f>opex_indoor95_hm!B$34</f>
        <v>2.36</v>
      </c>
      <c r="T73" s="393" t="str">
        <f>opex_indoor95_hm!C$34</f>
        <v>0.67</v>
      </c>
      <c r="U73" s="393"/>
      <c r="V73" s="393"/>
    </row>
    <row r="74" spans="1:22" s="59" customFormat="1">
      <c r="A74" s="59" t="str">
        <f t="shared" si="1"/>
        <v>IndoorSoluble concentrates, emulsifiable concentrate, etc.Upward sprayingManual-KnapsackProtected Hands</v>
      </c>
      <c r="B74" s="59" t="s">
        <v>496</v>
      </c>
      <c r="C74" s="59" t="s">
        <v>497</v>
      </c>
      <c r="D74" s="59" t="s">
        <v>505</v>
      </c>
      <c r="E74" s="59" t="s">
        <v>504</v>
      </c>
      <c r="F74" s="59" t="s">
        <v>503</v>
      </c>
      <c r="G74" s="393"/>
      <c r="H74" s="393"/>
      <c r="I74" s="393"/>
      <c r="J74" s="393">
        <v>21</v>
      </c>
      <c r="K74" s="393"/>
      <c r="L74" s="393"/>
      <c r="M74" s="393"/>
      <c r="N74" s="393">
        <v>164</v>
      </c>
      <c r="O74" s="393" t="str">
        <f>opex_indoor75_hm!B$34</f>
        <v>1.71</v>
      </c>
      <c r="P74" s="393" t="str">
        <f>opex_indoor75_hm!C$34</f>
        <v>1</v>
      </c>
      <c r="Q74" s="393"/>
      <c r="R74" s="393"/>
      <c r="S74" s="393" t="str">
        <f>opex_indoor95_hm!B$34</f>
        <v>2.36</v>
      </c>
      <c r="T74" s="393" t="str">
        <f>opex_indoor95_hm!C$34</f>
        <v>0.67</v>
      </c>
      <c r="U74" s="393"/>
      <c r="V74" s="393"/>
    </row>
    <row r="75" spans="1:22" s="59" customFormat="1">
      <c r="A75" s="59" t="str">
        <f t="shared" si="1"/>
        <v>IndoorSoluble concentrates, emulsifiable concentrate, etc.Upward sprayingManual-TrolleyBody</v>
      </c>
      <c r="B75" s="59" t="s">
        <v>496</v>
      </c>
      <c r="C75" s="59" t="s">
        <v>497</v>
      </c>
      <c r="D75" s="59" t="s">
        <v>505</v>
      </c>
      <c r="E75" s="59" t="s">
        <v>506</v>
      </c>
      <c r="F75" s="59" t="s">
        <v>420</v>
      </c>
      <c r="G75" s="393">
        <v>3.04</v>
      </c>
      <c r="H75" s="393">
        <v>0.74</v>
      </c>
      <c r="I75" s="393">
        <v>0.52</v>
      </c>
      <c r="J75" s="393"/>
      <c r="K75" s="393">
        <v>3.87</v>
      </c>
      <c r="L75" s="393">
        <v>0.69</v>
      </c>
      <c r="M75" s="393">
        <v>0.72</v>
      </c>
      <c r="N75" s="393"/>
      <c r="O75" s="393">
        <f>5.59</f>
        <v>5.59</v>
      </c>
      <c r="P75" s="393">
        <v>1</v>
      </c>
      <c r="Q75" s="393">
        <v>-0.81</v>
      </c>
      <c r="R75" s="393"/>
      <c r="S75" s="393">
        <v>6.1</v>
      </c>
      <c r="T75" s="393" t="str">
        <f>opex_indoor95_hm!C$35</f>
        <v>1</v>
      </c>
      <c r="U75" s="393">
        <v>-0.92</v>
      </c>
      <c r="V75" s="393"/>
    </row>
    <row r="76" spans="1:22" s="59" customFormat="1">
      <c r="A76" s="59" t="str">
        <f t="shared" si="1"/>
        <v>IndoorWettable granules, soluble granulesUpward sprayingManual-TrolleyBody</v>
      </c>
      <c r="B76" s="59" t="s">
        <v>496</v>
      </c>
      <c r="C76" s="59" t="s">
        <v>500</v>
      </c>
      <c r="D76" s="59" t="s">
        <v>505</v>
      </c>
      <c r="E76" s="59" t="s">
        <v>506</v>
      </c>
      <c r="F76" s="59" t="s">
        <v>420</v>
      </c>
      <c r="G76" s="393">
        <v>3.04</v>
      </c>
      <c r="H76" s="393">
        <v>0.74</v>
      </c>
      <c r="I76" s="393"/>
      <c r="J76" s="393"/>
      <c r="K76" s="393">
        <v>3.87</v>
      </c>
      <c r="L76" s="393">
        <v>0.69</v>
      </c>
      <c r="M76" s="393"/>
      <c r="N76" s="393"/>
      <c r="O76" s="393">
        <f>5.59</f>
        <v>5.59</v>
      </c>
      <c r="P76" s="393">
        <v>1</v>
      </c>
      <c r="Q76" s="393">
        <v>-0.81</v>
      </c>
      <c r="R76" s="393"/>
      <c r="S76" s="393">
        <v>6.1</v>
      </c>
      <c r="T76" s="393" t="str">
        <f>opex_indoor95_hm!C$35</f>
        <v>1</v>
      </c>
      <c r="U76" s="393">
        <v>-0.92</v>
      </c>
      <c r="V76" s="393"/>
    </row>
    <row r="77" spans="1:22" s="59" customFormat="1">
      <c r="A77" s="59" t="str">
        <f t="shared" si="1"/>
        <v>IndoorWettable powder, soluble powderUpward sprayingManual-TrolleyBody</v>
      </c>
      <c r="B77" s="59" t="s">
        <v>496</v>
      </c>
      <c r="C77" s="59" t="s">
        <v>501</v>
      </c>
      <c r="D77" s="59" t="s">
        <v>505</v>
      </c>
      <c r="E77" s="59" t="s">
        <v>506</v>
      </c>
      <c r="F77" s="59" t="s">
        <v>420</v>
      </c>
      <c r="G77" s="393">
        <v>3.04</v>
      </c>
      <c r="H77" s="393">
        <v>0.74</v>
      </c>
      <c r="I77" s="393">
        <v>1.85</v>
      </c>
      <c r="J77" s="393"/>
      <c r="K77" s="393">
        <v>3.87</v>
      </c>
      <c r="L77" s="393">
        <v>0.69</v>
      </c>
      <c r="M77" s="393">
        <v>1.29</v>
      </c>
      <c r="N77" s="393"/>
      <c r="O77" s="393">
        <f>5.59</f>
        <v>5.59</v>
      </c>
      <c r="P77" s="393">
        <v>1</v>
      </c>
      <c r="Q77" s="393">
        <v>-0.81</v>
      </c>
      <c r="R77" s="393"/>
      <c r="S77" s="393">
        <v>6.1</v>
      </c>
      <c r="T77" s="393" t="str">
        <f>opex_indoor95_hm!C$35</f>
        <v>1</v>
      </c>
      <c r="U77" s="393">
        <v>-0.92</v>
      </c>
      <c r="V77" s="393"/>
    </row>
    <row r="78" spans="1:22" s="59" customFormat="1">
      <c r="A78" s="59" t="str">
        <f t="shared" si="1"/>
        <v>IndoorSoluble concentrates, emulsifiable concentrate, etc.Upward sprayingManual-TrolleyHands</v>
      </c>
      <c r="B78" s="59" t="s">
        <v>496</v>
      </c>
      <c r="C78" s="59" t="s">
        <v>497</v>
      </c>
      <c r="D78" s="59" t="s">
        <v>505</v>
      </c>
      <c r="E78" s="59" t="s">
        <v>506</v>
      </c>
      <c r="F78" s="59" t="s">
        <v>418</v>
      </c>
      <c r="G78" s="393">
        <v>3.27</v>
      </c>
      <c r="H78" s="393">
        <v>0.64</v>
      </c>
      <c r="I78" s="393">
        <v>0.64</v>
      </c>
      <c r="J78" s="393"/>
      <c r="K78" s="393">
        <v>3.74</v>
      </c>
      <c r="L78" s="393">
        <v>0.69</v>
      </c>
      <c r="M78" s="393">
        <v>0.71</v>
      </c>
      <c r="N78" s="393"/>
      <c r="O78" s="393" t="str">
        <f>opex_indoor75_hm!B$33</f>
        <v>4.4</v>
      </c>
      <c r="P78" s="393" t="str">
        <f>opex_indoor75_hm!C$33</f>
        <v>0.83</v>
      </c>
      <c r="Q78" s="393">
        <v>-0.62</v>
      </c>
      <c r="R78" s="393"/>
      <c r="S78" s="393" t="str">
        <f>opex_indoor95_hm!B$33</f>
        <v>4.81</v>
      </c>
      <c r="T78" s="393" t="str">
        <f>opex_indoor95_hm!C$33</f>
        <v>0.84</v>
      </c>
      <c r="U78" s="393">
        <v>-0.82</v>
      </c>
      <c r="V78" s="393"/>
    </row>
    <row r="79" spans="1:22" s="59" customFormat="1">
      <c r="A79" s="59" t="str">
        <f t="shared" si="1"/>
        <v>IndoorWettable granules, soluble granulesUpward sprayingManual-TrolleyHands</v>
      </c>
      <c r="B79" s="59" t="s">
        <v>496</v>
      </c>
      <c r="C79" s="59" t="s">
        <v>500</v>
      </c>
      <c r="D79" s="59" t="s">
        <v>505</v>
      </c>
      <c r="E79" s="59" t="s">
        <v>506</v>
      </c>
      <c r="F79" s="59" t="s">
        <v>418</v>
      </c>
      <c r="G79" s="393">
        <v>3.27</v>
      </c>
      <c r="H79" s="393">
        <v>0.64</v>
      </c>
      <c r="I79" s="393">
        <v>0</v>
      </c>
      <c r="J79" s="393"/>
      <c r="K79" s="393">
        <v>3.74</v>
      </c>
      <c r="L79" s="393">
        <v>0.69</v>
      </c>
      <c r="M79" s="393">
        <v>0</v>
      </c>
      <c r="N79" s="393"/>
      <c r="O79" s="393" t="str">
        <f>opex_indoor75_hm!B$33</f>
        <v>4.4</v>
      </c>
      <c r="P79" s="393" t="str">
        <f>opex_indoor75_hm!C$33</f>
        <v>0.83</v>
      </c>
      <c r="Q79" s="393">
        <v>-0.62</v>
      </c>
      <c r="R79" s="393"/>
      <c r="S79" s="393" t="str">
        <f>opex_indoor95_hm!B$33</f>
        <v>4.81</v>
      </c>
      <c r="T79" s="393" t="str">
        <f>opex_indoor95_hm!C$33</f>
        <v>0.84</v>
      </c>
      <c r="U79" s="393">
        <v>-0.82</v>
      </c>
      <c r="V79" s="393"/>
    </row>
    <row r="80" spans="1:22" s="59" customFormat="1">
      <c r="A80" s="59" t="str">
        <f t="shared" si="1"/>
        <v>IndoorWettable powder, soluble powderUpward sprayingManual-TrolleyHands</v>
      </c>
      <c r="B80" s="59" t="s">
        <v>496</v>
      </c>
      <c r="C80" s="59" t="s">
        <v>501</v>
      </c>
      <c r="D80" s="59" t="s">
        <v>505</v>
      </c>
      <c r="E80" s="59" t="s">
        <v>506</v>
      </c>
      <c r="F80" s="59" t="s">
        <v>418</v>
      </c>
      <c r="G80" s="393">
        <v>3.27</v>
      </c>
      <c r="H80" s="393">
        <v>0.64</v>
      </c>
      <c r="I80" s="393">
        <v>1.28</v>
      </c>
      <c r="J80" s="393"/>
      <c r="K80" s="393">
        <v>3.74</v>
      </c>
      <c r="L80" s="393">
        <v>0.69</v>
      </c>
      <c r="M80" s="393">
        <v>1.21</v>
      </c>
      <c r="N80" s="393"/>
      <c r="O80" s="393" t="str">
        <f>opex_indoor75_hm!B$33</f>
        <v>4.4</v>
      </c>
      <c r="P80" s="393" t="str">
        <f>opex_indoor75_hm!C$33</f>
        <v>0.83</v>
      </c>
      <c r="Q80" s="393">
        <v>-0.62</v>
      </c>
      <c r="R80" s="393"/>
      <c r="S80" s="393" t="str">
        <f>opex_indoor95_hm!B$33</f>
        <v>4.81</v>
      </c>
      <c r="T80" s="393" t="str">
        <f>opex_indoor95_hm!C$33</f>
        <v>0.84</v>
      </c>
      <c r="U80" s="393">
        <v>-0.82</v>
      </c>
      <c r="V80" s="393"/>
    </row>
    <row r="81" spans="1:22" s="59" customFormat="1">
      <c r="A81" s="59" t="str">
        <f t="shared" si="1"/>
        <v>IndoorSoluble concentrates, emulsifiable concentrate, etc.Upward sprayingManual-TrolleyHead</v>
      </c>
      <c r="B81" s="59" t="s">
        <v>496</v>
      </c>
      <c r="C81" s="59" t="s">
        <v>497</v>
      </c>
      <c r="D81" s="59" t="s">
        <v>505</v>
      </c>
      <c r="E81" s="59" t="s">
        <v>506</v>
      </c>
      <c r="F81" s="59" t="s">
        <v>104</v>
      </c>
      <c r="G81" s="393">
        <v>1.46</v>
      </c>
      <c r="H81" s="393">
        <v>1</v>
      </c>
      <c r="I81" s="393">
        <f>0.34</f>
        <v>0.34</v>
      </c>
      <c r="J81" s="393"/>
      <c r="K81" s="393">
        <v>2.19</v>
      </c>
      <c r="L81" s="393">
        <v>1</v>
      </c>
      <c r="M81" s="393">
        <v>0.39</v>
      </c>
      <c r="N81" s="393"/>
      <c r="O81" s="393">
        <v>2.7</v>
      </c>
      <c r="P81" s="393">
        <v>0.18</v>
      </c>
      <c r="Q81" s="393">
        <v>-0.41</v>
      </c>
      <c r="R81" s="393"/>
      <c r="S81" s="393">
        <v>3.1</v>
      </c>
      <c r="T81" s="393">
        <v>0.33</v>
      </c>
      <c r="U81" s="393">
        <v>0.25</v>
      </c>
      <c r="V81" s="393"/>
    </row>
    <row r="82" spans="1:22" s="59" customFormat="1">
      <c r="A82" s="59" t="str">
        <f t="shared" si="1"/>
        <v>IndoorWettable granules, soluble granulesUpward sprayingManual-TrolleyHead</v>
      </c>
      <c r="B82" s="59" t="s">
        <v>496</v>
      </c>
      <c r="C82" s="59" t="s">
        <v>500</v>
      </c>
      <c r="D82" s="59" t="s">
        <v>505</v>
      </c>
      <c r="E82" s="59" t="s">
        <v>506</v>
      </c>
      <c r="F82" s="59" t="s">
        <v>104</v>
      </c>
      <c r="G82" s="393">
        <v>1.46</v>
      </c>
      <c r="H82" s="393">
        <v>1</v>
      </c>
      <c r="I82" s="393">
        <v>0</v>
      </c>
      <c r="J82" s="393"/>
      <c r="K82" s="393">
        <v>2.19</v>
      </c>
      <c r="L82" s="393">
        <v>1</v>
      </c>
      <c r="M82" s="393">
        <v>0</v>
      </c>
      <c r="N82" s="393"/>
      <c r="O82" s="393">
        <v>2.7</v>
      </c>
      <c r="P82" s="393">
        <v>0.18</v>
      </c>
      <c r="Q82" s="393">
        <v>-0.41</v>
      </c>
      <c r="R82" s="393"/>
      <c r="S82" s="393">
        <v>3.1</v>
      </c>
      <c r="T82" s="393">
        <v>0.33</v>
      </c>
      <c r="U82" s="393">
        <v>0.25</v>
      </c>
      <c r="V82" s="393"/>
    </row>
    <row r="83" spans="1:22" s="59" customFormat="1">
      <c r="A83" s="59" t="str">
        <f t="shared" si="1"/>
        <v>IndoorWettable powder, soluble powderUpward sprayingManual-TrolleyHead</v>
      </c>
      <c r="B83" s="59" t="s">
        <v>496</v>
      </c>
      <c r="C83" s="59" t="s">
        <v>501</v>
      </c>
      <c r="D83" s="59" t="s">
        <v>505</v>
      </c>
      <c r="E83" s="59" t="s">
        <v>506</v>
      </c>
      <c r="F83" s="59" t="s">
        <v>104</v>
      </c>
      <c r="G83" s="393">
        <v>1.46</v>
      </c>
      <c r="H83" s="393">
        <v>1</v>
      </c>
      <c r="I83" s="393">
        <v>0.7</v>
      </c>
      <c r="J83" s="393"/>
      <c r="K83" s="393">
        <v>2.19</v>
      </c>
      <c r="L83" s="393">
        <v>1</v>
      </c>
      <c r="M83" s="393">
        <v>0.11</v>
      </c>
      <c r="N83" s="393"/>
      <c r="O83" s="393">
        <v>2.7</v>
      </c>
      <c r="P83" s="393">
        <v>0.18</v>
      </c>
      <c r="Q83" s="393">
        <v>-0.41</v>
      </c>
      <c r="R83" s="393"/>
      <c r="S83" s="393">
        <v>3.1</v>
      </c>
      <c r="T83" s="393">
        <v>0.33</v>
      </c>
      <c r="U83" s="393">
        <v>0.25</v>
      </c>
      <c r="V83" s="393"/>
    </row>
    <row r="84" spans="1:22" s="59" customFormat="1">
      <c r="A84" s="59" t="str">
        <f t="shared" si="1"/>
        <v>IndoorSoluble concentrates, emulsifiable concentrate, etc.Upward sprayingManual-TrolleyInhalation</v>
      </c>
      <c r="B84" s="124" t="s">
        <v>496</v>
      </c>
      <c r="C84" s="124" t="s">
        <v>497</v>
      </c>
      <c r="D84" s="124" t="s">
        <v>505</v>
      </c>
      <c r="E84" s="124" t="s">
        <v>506</v>
      </c>
      <c r="F84" s="124" t="s">
        <v>109</v>
      </c>
      <c r="G84" s="393">
        <v>1.38</v>
      </c>
      <c r="H84" s="393">
        <v>0.38</v>
      </c>
      <c r="I84" s="393">
        <v>-0.87</v>
      </c>
      <c r="J84" s="393"/>
      <c r="K84" s="393">
        <v>1.81</v>
      </c>
      <c r="L84" s="393">
        <v>0.49</v>
      </c>
      <c r="M84" s="393">
        <v>-0.92</v>
      </c>
      <c r="N84" s="393"/>
      <c r="O84" s="393" t="str">
        <f>opex_indoor75_hm!B$38</f>
        <v>2.69</v>
      </c>
      <c r="P84" s="393" t="str">
        <f>opex_indoor75_hm!C$38</f>
        <v>1</v>
      </c>
      <c r="Q84" s="393">
        <v>-0.19</v>
      </c>
      <c r="R84" s="393"/>
      <c r="S84" s="393" t="str">
        <f>opex_indoor95_hm!B$38</f>
        <v>2.82</v>
      </c>
      <c r="T84" s="393" t="str">
        <f>opex_indoor95_hm!C$38</f>
        <v>1</v>
      </c>
      <c r="U84" s="393">
        <v>-0.26</v>
      </c>
      <c r="V84" s="393"/>
    </row>
    <row r="85" spans="1:22" s="59" customFormat="1">
      <c r="A85" s="59" t="str">
        <f t="shared" si="1"/>
        <v>IndoorWettable granules, soluble granulesUpward sprayingManual-TrolleyInhalation</v>
      </c>
      <c r="B85" s="124" t="s">
        <v>496</v>
      </c>
      <c r="C85" s="124" t="s">
        <v>500</v>
      </c>
      <c r="D85" s="124" t="s">
        <v>505</v>
      </c>
      <c r="E85" s="124" t="s">
        <v>506</v>
      </c>
      <c r="F85" s="124" t="s">
        <v>109</v>
      </c>
      <c r="G85" s="393">
        <v>1.38</v>
      </c>
      <c r="H85" s="393">
        <v>0.38</v>
      </c>
      <c r="I85" s="393"/>
      <c r="J85" s="393"/>
      <c r="K85" s="393">
        <v>1.81</v>
      </c>
      <c r="L85" s="393">
        <v>0.49</v>
      </c>
      <c r="M85" s="393"/>
      <c r="N85" s="393"/>
      <c r="O85" s="393" t="str">
        <f>opex_indoor75_hm!B$38</f>
        <v>2.69</v>
      </c>
      <c r="P85" s="393" t="str">
        <f>opex_indoor75_hm!C$38</f>
        <v>1</v>
      </c>
      <c r="Q85" s="393">
        <v>-0.19</v>
      </c>
      <c r="R85" s="393"/>
      <c r="S85" s="393" t="str">
        <f>opex_indoor95_hm!B$38</f>
        <v>2.82</v>
      </c>
      <c r="T85" s="393" t="str">
        <f>opex_indoor95_hm!C$38</f>
        <v>1</v>
      </c>
      <c r="U85" s="393">
        <v>-0.26</v>
      </c>
      <c r="V85" s="393"/>
    </row>
    <row r="86" spans="1:22" s="59" customFormat="1">
      <c r="A86" s="59" t="str">
        <f t="shared" si="1"/>
        <v>IndoorWettable powder, soluble powderUpward sprayingManual-TrolleyInhalation</v>
      </c>
      <c r="B86" s="124" t="s">
        <v>496</v>
      </c>
      <c r="C86" s="124" t="s">
        <v>501</v>
      </c>
      <c r="D86" s="124" t="s">
        <v>505</v>
      </c>
      <c r="E86" s="124" t="s">
        <v>506</v>
      </c>
      <c r="F86" s="124" t="s">
        <v>109</v>
      </c>
      <c r="G86" s="393">
        <v>1.38</v>
      </c>
      <c r="H86" s="393">
        <v>0.38</v>
      </c>
      <c r="I86" s="393">
        <v>1.96</v>
      </c>
      <c r="J86" s="393"/>
      <c r="K86" s="393">
        <v>1.81</v>
      </c>
      <c r="L86" s="393">
        <v>0.49</v>
      </c>
      <c r="M86" s="393">
        <v>1.54</v>
      </c>
      <c r="N86" s="393"/>
      <c r="O86" s="393">
        <v>2.69</v>
      </c>
      <c r="P86" s="393" t="str">
        <f>opex_indoor75_hm!C$38</f>
        <v>1</v>
      </c>
      <c r="Q86" s="393">
        <v>-0.19</v>
      </c>
      <c r="R86" s="393"/>
      <c r="S86" s="393" t="str">
        <f>opex_indoor95_hm!B$38</f>
        <v>2.82</v>
      </c>
      <c r="T86" s="393" t="str">
        <f>opex_indoor95_hm!C$38</f>
        <v>1</v>
      </c>
      <c r="U86" s="393">
        <v>-0.26</v>
      </c>
      <c r="V86" s="393"/>
    </row>
    <row r="87" spans="1:22" s="59" customFormat="1">
      <c r="A87" s="59" t="str">
        <f t="shared" si="1"/>
        <v>IndoorSoluble concentrates, emulsifiable concentrate, etc.Upward sprayingManual-TrolleyProtected Body</v>
      </c>
      <c r="B87" s="127" t="s">
        <v>496</v>
      </c>
      <c r="C87" s="127" t="s">
        <v>497</v>
      </c>
      <c r="D87" s="127" t="s">
        <v>505</v>
      </c>
      <c r="E87" s="127" t="s">
        <v>506</v>
      </c>
      <c r="F87" s="127" t="s">
        <v>502</v>
      </c>
      <c r="G87" s="393">
        <v>1.58</v>
      </c>
      <c r="H87" s="393">
        <v>0.62</v>
      </c>
      <c r="I87" s="393">
        <v>0.12</v>
      </c>
      <c r="J87" s="393"/>
      <c r="K87" s="393">
        <v>2.09</v>
      </c>
      <c r="L87" s="393">
        <v>0.78</v>
      </c>
      <c r="M87" s="393">
        <v>0.44</v>
      </c>
      <c r="N87" s="393"/>
      <c r="O87" s="393">
        <v>4.1900000000000004</v>
      </c>
      <c r="P87" s="393">
        <v>1</v>
      </c>
      <c r="Q87" s="393">
        <f>IF(I_PPE_appl="Certified protective coverall",-0.54,IF(I_PPE_appl="Rain suit &amp; trousers",-2.42,0))-1.23</f>
        <v>-1.23</v>
      </c>
      <c r="R87" s="393"/>
      <c r="S87" s="393">
        <v>5.07</v>
      </c>
      <c r="T87" s="393">
        <v>1</v>
      </c>
      <c r="U87" s="393">
        <f>IF(I_PPE_appl="Certified protective coverall",-0.64,IF(I_PPE_appl="Rain suit &amp; trousers",-2.2,0))-1.71</f>
        <v>-1.71</v>
      </c>
      <c r="V87" s="393"/>
    </row>
    <row r="88" spans="1:22" s="59" customFormat="1">
      <c r="A88" s="59" t="str">
        <f t="shared" si="1"/>
        <v>IndoorWettable granules, soluble granulesUpward sprayingManual-TrolleyProtected Body</v>
      </c>
      <c r="B88" s="127" t="s">
        <v>496</v>
      </c>
      <c r="C88" s="127" t="s">
        <v>500</v>
      </c>
      <c r="D88" s="127" t="s">
        <v>505</v>
      </c>
      <c r="E88" s="127" t="s">
        <v>506</v>
      </c>
      <c r="F88" s="127" t="s">
        <v>502</v>
      </c>
      <c r="G88" s="393">
        <v>1.58</v>
      </c>
      <c r="H88" s="393">
        <v>0.62</v>
      </c>
      <c r="I88" s="393"/>
      <c r="J88" s="393"/>
      <c r="K88" s="393">
        <v>2.09</v>
      </c>
      <c r="L88" s="393">
        <v>0.78</v>
      </c>
      <c r="M88" s="393"/>
      <c r="N88" s="393"/>
      <c r="O88" s="393">
        <v>4.1900000000000004</v>
      </c>
      <c r="P88" s="393">
        <v>1</v>
      </c>
      <c r="Q88" s="393">
        <f>IF(I_PPE_appl="Certified protective coverall",-0.54,IF(I_PPE_appl="Rain suit &amp; trousers",-2.42,0))-1.23</f>
        <v>-1.23</v>
      </c>
      <c r="R88" s="393"/>
      <c r="S88" s="393">
        <v>5.07</v>
      </c>
      <c r="T88" s="393">
        <v>1</v>
      </c>
      <c r="U88" s="393">
        <f>IF(I_PPE_appl="Certified protective coverall",-0.64,IF(I_PPE_appl="Rain suit &amp; trousers",-2.2,0))-1.71</f>
        <v>-1.71</v>
      </c>
      <c r="V88" s="393"/>
    </row>
    <row r="89" spans="1:22" s="59" customFormat="1">
      <c r="A89" s="59" t="str">
        <f t="shared" si="1"/>
        <v>IndoorWettable powder, soluble powderUpward sprayingManual-TrolleyProtected Body</v>
      </c>
      <c r="B89" s="127" t="s">
        <v>496</v>
      </c>
      <c r="C89" s="127" t="s">
        <v>501</v>
      </c>
      <c r="D89" s="127" t="s">
        <v>505</v>
      </c>
      <c r="E89" s="127" t="s">
        <v>506</v>
      </c>
      <c r="F89" s="127" t="s">
        <v>502</v>
      </c>
      <c r="G89" s="393">
        <v>1.58</v>
      </c>
      <c r="H89" s="393">
        <v>0.62</v>
      </c>
      <c r="I89" s="393">
        <v>1.84</v>
      </c>
      <c r="J89" s="393"/>
      <c r="K89" s="393">
        <v>2.09</v>
      </c>
      <c r="L89" s="393">
        <v>0.78</v>
      </c>
      <c r="M89" s="393">
        <v>1.58</v>
      </c>
      <c r="N89" s="393"/>
      <c r="O89" s="393">
        <v>4.1900000000000004</v>
      </c>
      <c r="P89" s="393">
        <v>1</v>
      </c>
      <c r="Q89" s="393">
        <f>IF(I_PPE_appl="Certified protective coverall",-0.54,IF(I_PPE_appl="Rain suit &amp; trousers",-2.42,0))-1.23</f>
        <v>-1.23</v>
      </c>
      <c r="R89" s="393"/>
      <c r="S89" s="393">
        <v>5.07</v>
      </c>
      <c r="T89" s="393">
        <v>1</v>
      </c>
      <c r="U89" s="393">
        <f>IF(I_PPE_appl="Certified protective coverall",-0.64,IF(I_PPE_appl="Rain suit &amp; trousers",-2.2,0))-1.71</f>
        <v>-1.71</v>
      </c>
      <c r="V89" s="393"/>
    </row>
    <row r="90" spans="1:22" s="59" customFormat="1">
      <c r="A90" s="59" t="str">
        <f t="shared" si="1"/>
        <v>IndoorSoluble concentrates, emulsifiable concentrate, etc.Upward sprayingManual-TrolleyProtected Hands</v>
      </c>
      <c r="B90" s="59" t="s">
        <v>496</v>
      </c>
      <c r="C90" s="59" t="s">
        <v>497</v>
      </c>
      <c r="D90" s="59" t="s">
        <v>505</v>
      </c>
      <c r="E90" s="59" t="s">
        <v>506</v>
      </c>
      <c r="F90" s="59" t="s">
        <v>503</v>
      </c>
      <c r="G90" s="393">
        <v>1.46</v>
      </c>
      <c r="H90" s="393">
        <v>0.46</v>
      </c>
      <c r="I90" s="393">
        <v>0.32</v>
      </c>
      <c r="J90" s="393"/>
      <c r="K90" s="393">
        <v>2.29</v>
      </c>
      <c r="L90" s="393">
        <v>0.53</v>
      </c>
      <c r="M90" s="393">
        <v>0.83</v>
      </c>
      <c r="N90" s="393"/>
      <c r="O90" s="393" t="str">
        <f>opex_indoor75_hm!B$34</f>
        <v>1.71</v>
      </c>
      <c r="P90" s="393" t="str">
        <f>opex_indoor75_hm!C$34</f>
        <v>1</v>
      </c>
      <c r="Q90" s="393">
        <v>-1.04</v>
      </c>
      <c r="R90" s="393"/>
      <c r="S90" s="393" t="str">
        <f>opex_indoor95_hm!B$34</f>
        <v>2.36</v>
      </c>
      <c r="T90" s="393" t="str">
        <f>opex_indoor95_hm!C$34</f>
        <v>0.67</v>
      </c>
      <c r="U90" s="393">
        <v>-1.19</v>
      </c>
      <c r="V90" s="393"/>
    </row>
    <row r="91" spans="1:22" s="59" customFormat="1">
      <c r="A91" s="59" t="str">
        <f t="shared" si="1"/>
        <v>IndoorWettable granules, soluble granulesUpward sprayingManual-TrolleyProtected Hands</v>
      </c>
      <c r="B91" s="127" t="s">
        <v>496</v>
      </c>
      <c r="C91" s="127" t="s">
        <v>500</v>
      </c>
      <c r="D91" s="127" t="s">
        <v>505</v>
      </c>
      <c r="E91" s="127" t="s">
        <v>506</v>
      </c>
      <c r="F91" s="127" t="s">
        <v>503</v>
      </c>
      <c r="G91" s="393">
        <v>1.46</v>
      </c>
      <c r="H91" s="393">
        <v>0.46</v>
      </c>
      <c r="I91" s="393"/>
      <c r="J91" s="393"/>
      <c r="K91" s="393">
        <v>2.29</v>
      </c>
      <c r="L91" s="393">
        <v>0.53</v>
      </c>
      <c r="M91" s="393"/>
      <c r="N91" s="393"/>
      <c r="O91" s="393" t="str">
        <f>opex_indoor75_hm!B$34</f>
        <v>1.71</v>
      </c>
      <c r="P91" s="393" t="str">
        <f>opex_indoor75_hm!C$34</f>
        <v>1</v>
      </c>
      <c r="Q91" s="393">
        <v>-1.04</v>
      </c>
      <c r="R91" s="393"/>
      <c r="S91" s="393" t="str">
        <f>opex_indoor95_hm!B$34</f>
        <v>2.36</v>
      </c>
      <c r="T91" s="393" t="str">
        <f>opex_indoor95_hm!C$34</f>
        <v>0.67</v>
      </c>
      <c r="U91" s="393">
        <v>-1.19</v>
      </c>
      <c r="V91" s="393"/>
    </row>
    <row r="92" spans="1:22" s="59" customFormat="1">
      <c r="A92" s="59" t="str">
        <f t="shared" si="1"/>
        <v>IndoorWettable powder, soluble powderUpward sprayingManual-TrolleyProtected Hands</v>
      </c>
      <c r="B92" s="127" t="s">
        <v>496</v>
      </c>
      <c r="C92" s="127" t="s">
        <v>501</v>
      </c>
      <c r="D92" s="127" t="s">
        <v>505</v>
      </c>
      <c r="E92" s="127" t="s">
        <v>506</v>
      </c>
      <c r="F92" s="127" t="s">
        <v>503</v>
      </c>
      <c r="G92" s="393">
        <v>1.46</v>
      </c>
      <c r="H92" s="393">
        <v>0.46</v>
      </c>
      <c r="I92" s="393">
        <v>1.66</v>
      </c>
      <c r="J92" s="393"/>
      <c r="K92" s="393">
        <v>2.29</v>
      </c>
      <c r="L92" s="393">
        <v>0.53</v>
      </c>
      <c r="M92" s="393">
        <v>1.39</v>
      </c>
      <c r="N92" s="393"/>
      <c r="O92" s="393" t="str">
        <f>opex_indoor75_hm!B$34</f>
        <v>1.71</v>
      </c>
      <c r="P92" s="393" t="str">
        <f>opex_indoor75_hm!C$34</f>
        <v>1</v>
      </c>
      <c r="Q92" s="393">
        <v>-1.04</v>
      </c>
      <c r="R92" s="393"/>
      <c r="S92" s="393" t="str">
        <f>opex_indoor95_hm!B$34</f>
        <v>2.36</v>
      </c>
      <c r="T92" s="393" t="str">
        <f>opex_indoor95_hm!C$34</f>
        <v>0.67</v>
      </c>
      <c r="U92" s="393">
        <v>-1.19</v>
      </c>
      <c r="V92" s="393"/>
    </row>
    <row r="93" spans="1:22" s="59" customFormat="1">
      <c r="A93" s="59" t="str">
        <f t="shared" si="1"/>
        <v>IndoorDenseSoluble concentrates, emulsifiable concentrate, etc.Downward sprayingManual-Hand heldBody</v>
      </c>
      <c r="B93" s="124" t="s">
        <v>507</v>
      </c>
      <c r="C93" s="124" t="s">
        <v>497</v>
      </c>
      <c r="D93" s="124" t="s">
        <v>498</v>
      </c>
      <c r="E93" s="124" t="s">
        <v>499</v>
      </c>
      <c r="F93" s="124" t="s">
        <v>420</v>
      </c>
      <c r="G93" s="393">
        <v>3.04</v>
      </c>
      <c r="H93" s="393">
        <v>0.74</v>
      </c>
      <c r="I93" s="393">
        <v>0.52</v>
      </c>
      <c r="J93" s="393"/>
      <c r="K93" s="393">
        <v>3.87</v>
      </c>
      <c r="L93" s="393">
        <v>0.69</v>
      </c>
      <c r="M93" s="393">
        <v>0.72</v>
      </c>
      <c r="N93" s="393"/>
      <c r="O93" s="393"/>
      <c r="P93" s="393"/>
      <c r="Q93" s="393"/>
      <c r="R93" s="393">
        <v>55521</v>
      </c>
      <c r="S93" s="393"/>
      <c r="T93" s="393"/>
      <c r="U93" s="393"/>
      <c r="V93" s="393">
        <v>85382</v>
      </c>
    </row>
    <row r="94" spans="1:22" s="59" customFormat="1">
      <c r="A94" s="59" t="str">
        <f t="shared" si="1"/>
        <v>IndoorDenseWettable granules, soluble granulesDownward sprayingManual-Hand heldBody</v>
      </c>
      <c r="B94" s="124" t="s">
        <v>507</v>
      </c>
      <c r="C94" s="124" t="s">
        <v>500</v>
      </c>
      <c r="D94" s="124" t="s">
        <v>498</v>
      </c>
      <c r="E94" s="124" t="s">
        <v>499</v>
      </c>
      <c r="F94" s="124" t="s">
        <v>420</v>
      </c>
      <c r="G94" s="393">
        <v>3.04</v>
      </c>
      <c r="H94" s="393">
        <v>0.74</v>
      </c>
      <c r="I94" s="393"/>
      <c r="J94" s="393"/>
      <c r="K94" s="393">
        <v>3.87</v>
      </c>
      <c r="L94" s="393">
        <v>0.69</v>
      </c>
      <c r="M94" s="393"/>
      <c r="N94" s="393"/>
      <c r="O94" s="393"/>
      <c r="P94" s="393"/>
      <c r="Q94" s="393"/>
      <c r="R94" s="393">
        <v>55521</v>
      </c>
      <c r="S94" s="393"/>
      <c r="T94" s="393"/>
      <c r="U94" s="393"/>
      <c r="V94" s="393">
        <v>85382</v>
      </c>
    </row>
    <row r="95" spans="1:22" s="59" customFormat="1">
      <c r="A95" s="59" t="str">
        <f t="shared" si="1"/>
        <v>IndoorDenseWettable powder, soluble powderDownward sprayingManual-Hand heldBody</v>
      </c>
      <c r="B95" s="124" t="s">
        <v>507</v>
      </c>
      <c r="C95" s="124" t="s">
        <v>501</v>
      </c>
      <c r="D95" s="124" t="s">
        <v>498</v>
      </c>
      <c r="E95" s="124" t="s">
        <v>499</v>
      </c>
      <c r="F95" s="124" t="s">
        <v>420</v>
      </c>
      <c r="G95" s="393">
        <v>3.04</v>
      </c>
      <c r="H95" s="393">
        <v>0.74</v>
      </c>
      <c r="I95" s="393">
        <v>1.85</v>
      </c>
      <c r="J95" s="393"/>
      <c r="K95" s="393">
        <v>3.87</v>
      </c>
      <c r="L95" s="393">
        <v>0.69</v>
      </c>
      <c r="M95" s="393">
        <v>1.29</v>
      </c>
      <c r="N95" s="393"/>
      <c r="O95" s="393"/>
      <c r="P95" s="393"/>
      <c r="Q95" s="393"/>
      <c r="R95" s="393">
        <v>55521</v>
      </c>
      <c r="S95" s="393"/>
      <c r="T95" s="393"/>
      <c r="U95" s="393"/>
      <c r="V95" s="393">
        <v>85382</v>
      </c>
    </row>
    <row r="96" spans="1:22" s="59" customFormat="1">
      <c r="A96" s="59" t="str">
        <f t="shared" si="1"/>
        <v>IndoorDenseSoluble concentrates, emulsifiable concentrate, etc.Downward sprayingManual-Hand heldHands</v>
      </c>
      <c r="B96" s="124" t="s">
        <v>507</v>
      </c>
      <c r="C96" s="124" t="s">
        <v>497</v>
      </c>
      <c r="D96" s="124" t="s">
        <v>498</v>
      </c>
      <c r="E96" s="124" t="s">
        <v>499</v>
      </c>
      <c r="F96" s="124" t="s">
        <v>418</v>
      </c>
      <c r="G96" s="393">
        <v>3.27</v>
      </c>
      <c r="H96" s="393">
        <v>0.64</v>
      </c>
      <c r="I96" s="393">
        <v>0.64</v>
      </c>
      <c r="J96" s="393"/>
      <c r="K96" s="393">
        <v>3.74</v>
      </c>
      <c r="L96" s="393">
        <v>0.69</v>
      </c>
      <c r="M96" s="393">
        <v>0.71</v>
      </c>
      <c r="N96" s="393"/>
      <c r="O96" s="393"/>
      <c r="P96" s="393"/>
      <c r="Q96" s="393"/>
      <c r="R96" s="393">
        <v>1323</v>
      </c>
      <c r="S96" s="393"/>
      <c r="T96" s="393"/>
      <c r="U96" s="393"/>
      <c r="V96" s="393">
        <v>4159</v>
      </c>
    </row>
    <row r="97" spans="1:22" s="59" customFormat="1">
      <c r="A97" s="59" t="str">
        <f t="shared" si="1"/>
        <v>IndoorDenseWettable granules, soluble granulesDownward sprayingManual-Hand heldHands</v>
      </c>
      <c r="B97" s="124" t="s">
        <v>507</v>
      </c>
      <c r="C97" s="124" t="s">
        <v>500</v>
      </c>
      <c r="D97" s="124" t="s">
        <v>498</v>
      </c>
      <c r="E97" s="124" t="s">
        <v>499</v>
      </c>
      <c r="F97" s="124" t="s">
        <v>418</v>
      </c>
      <c r="G97" s="393">
        <v>3.27</v>
      </c>
      <c r="H97" s="393">
        <v>0.64</v>
      </c>
      <c r="I97" s="393">
        <v>0</v>
      </c>
      <c r="J97" s="393"/>
      <c r="K97" s="393">
        <v>3.74</v>
      </c>
      <c r="L97" s="393">
        <v>0.69</v>
      </c>
      <c r="M97" s="393">
        <v>0</v>
      </c>
      <c r="N97" s="393"/>
      <c r="O97" s="393"/>
      <c r="P97" s="393"/>
      <c r="Q97" s="393"/>
      <c r="R97" s="393">
        <v>1323</v>
      </c>
      <c r="S97" s="393"/>
      <c r="T97" s="393"/>
      <c r="U97" s="393"/>
      <c r="V97" s="393">
        <v>4159</v>
      </c>
    </row>
    <row r="98" spans="1:22" s="59" customFormat="1">
      <c r="A98" s="59" t="str">
        <f t="shared" si="1"/>
        <v>IndoorDenseWettable powder, soluble powderDownward sprayingManual-Hand heldHands</v>
      </c>
      <c r="B98" s="124" t="s">
        <v>507</v>
      </c>
      <c r="C98" s="124" t="s">
        <v>501</v>
      </c>
      <c r="D98" s="124" t="s">
        <v>498</v>
      </c>
      <c r="E98" s="124" t="s">
        <v>499</v>
      </c>
      <c r="F98" s="124" t="s">
        <v>418</v>
      </c>
      <c r="G98" s="393">
        <v>3.27</v>
      </c>
      <c r="H98" s="393">
        <v>0.64</v>
      </c>
      <c r="I98" s="393">
        <v>1.28</v>
      </c>
      <c r="J98" s="393"/>
      <c r="K98" s="393">
        <v>3.74</v>
      </c>
      <c r="L98" s="393">
        <v>0.69</v>
      </c>
      <c r="M98" s="393">
        <v>1.21</v>
      </c>
      <c r="N98" s="393"/>
      <c r="O98" s="393"/>
      <c r="P98" s="393"/>
      <c r="Q98" s="393"/>
      <c r="R98" s="393">
        <v>1323</v>
      </c>
      <c r="S98" s="393"/>
      <c r="T98" s="393"/>
      <c r="U98" s="393"/>
      <c r="V98" s="393">
        <v>4159</v>
      </c>
    </row>
    <row r="99" spans="1:22" s="59" customFormat="1">
      <c r="A99" s="59" t="str">
        <f t="shared" si="1"/>
        <v>IndoorDenseSoluble concentrates, emulsifiable concentrate, etc.Downward sprayingManual-Hand heldHead</v>
      </c>
      <c r="B99" s="124" t="s">
        <v>507</v>
      </c>
      <c r="C99" s="124" t="s">
        <v>497</v>
      </c>
      <c r="D99" s="124" t="s">
        <v>498</v>
      </c>
      <c r="E99" s="124" t="s">
        <v>499</v>
      </c>
      <c r="F99" s="124" t="s">
        <v>104</v>
      </c>
      <c r="G99" s="393">
        <v>1.46</v>
      </c>
      <c r="H99" s="393">
        <v>1</v>
      </c>
      <c r="I99" s="393">
        <f>0.34</f>
        <v>0.34</v>
      </c>
      <c r="J99" s="393"/>
      <c r="K99" s="393">
        <v>2.19</v>
      </c>
      <c r="L99" s="393">
        <v>1</v>
      </c>
      <c r="M99" s="393">
        <v>0.39</v>
      </c>
      <c r="N99" s="393"/>
      <c r="O99" s="393"/>
      <c r="P99" s="393"/>
      <c r="Q99" s="393"/>
      <c r="R99" s="393">
        <v>21</v>
      </c>
      <c r="S99" s="393"/>
      <c r="T99" s="393"/>
      <c r="U99" s="393"/>
      <c r="V99" s="393">
        <v>39</v>
      </c>
    </row>
    <row r="100" spans="1:22" s="59" customFormat="1">
      <c r="A100" s="59" t="str">
        <f t="shared" si="1"/>
        <v>IndoorDenseWettable granules, soluble granulesDownward sprayingManual-Hand heldHead</v>
      </c>
      <c r="B100" s="124" t="s">
        <v>507</v>
      </c>
      <c r="C100" s="124" t="s">
        <v>500</v>
      </c>
      <c r="D100" s="124" t="s">
        <v>498</v>
      </c>
      <c r="E100" s="124" t="s">
        <v>499</v>
      </c>
      <c r="F100" s="124" t="s">
        <v>104</v>
      </c>
      <c r="G100" s="393">
        <v>1.46</v>
      </c>
      <c r="H100" s="393">
        <v>1</v>
      </c>
      <c r="I100" s="393">
        <v>0</v>
      </c>
      <c r="J100" s="393"/>
      <c r="K100" s="393">
        <v>2.19</v>
      </c>
      <c r="L100" s="393">
        <v>1</v>
      </c>
      <c r="M100" s="393">
        <v>0</v>
      </c>
      <c r="N100" s="393"/>
      <c r="O100" s="393"/>
      <c r="P100" s="393"/>
      <c r="Q100" s="393"/>
      <c r="R100" s="393">
        <v>21</v>
      </c>
      <c r="S100" s="393"/>
      <c r="T100" s="393"/>
      <c r="U100" s="393"/>
      <c r="V100" s="393">
        <v>39</v>
      </c>
    </row>
    <row r="101" spans="1:22" s="59" customFormat="1">
      <c r="A101" s="59" t="str">
        <f t="shared" si="1"/>
        <v>IndoorDenseWettable powder, soluble powderDownward sprayingManual-Hand heldHead</v>
      </c>
      <c r="B101" s="124" t="s">
        <v>507</v>
      </c>
      <c r="C101" s="124" t="s">
        <v>501</v>
      </c>
      <c r="D101" s="124" t="s">
        <v>498</v>
      </c>
      <c r="E101" s="124" t="s">
        <v>499</v>
      </c>
      <c r="F101" s="124" t="s">
        <v>104</v>
      </c>
      <c r="G101" s="393">
        <v>1.46</v>
      </c>
      <c r="H101" s="393">
        <v>1</v>
      </c>
      <c r="I101" s="393">
        <v>0.7</v>
      </c>
      <c r="J101" s="393"/>
      <c r="K101" s="393">
        <v>2.19</v>
      </c>
      <c r="L101" s="393">
        <v>1</v>
      </c>
      <c r="M101" s="393">
        <v>0.11</v>
      </c>
      <c r="N101" s="393"/>
      <c r="O101" s="393"/>
      <c r="P101" s="393"/>
      <c r="Q101" s="393"/>
      <c r="R101" s="393">
        <v>21</v>
      </c>
      <c r="S101" s="393"/>
      <c r="T101" s="393"/>
      <c r="U101" s="393"/>
      <c r="V101" s="393">
        <v>39</v>
      </c>
    </row>
    <row r="102" spans="1:22" s="59" customFormat="1">
      <c r="A102" s="59" t="str">
        <f t="shared" si="1"/>
        <v>IndoorDenseSoluble concentrates, emulsifiable concentrate, etc.Downward sprayingManual-Hand heldInhalation</v>
      </c>
      <c r="B102" s="124" t="s">
        <v>507</v>
      </c>
      <c r="C102" s="124" t="s">
        <v>497</v>
      </c>
      <c r="D102" s="124" t="s">
        <v>498</v>
      </c>
      <c r="E102" s="124" t="s">
        <v>499</v>
      </c>
      <c r="F102" s="124" t="s">
        <v>109</v>
      </c>
      <c r="G102" s="393">
        <v>1.38</v>
      </c>
      <c r="H102" s="393">
        <v>0.38</v>
      </c>
      <c r="I102" s="393">
        <v>-0.87</v>
      </c>
      <c r="J102" s="393"/>
      <c r="K102" s="393">
        <v>1.81</v>
      </c>
      <c r="L102" s="393">
        <v>0.49</v>
      </c>
      <c r="M102" s="393">
        <v>-0.92</v>
      </c>
      <c r="N102" s="393"/>
      <c r="O102" s="393"/>
      <c r="P102" s="393"/>
      <c r="Q102" s="393"/>
      <c r="R102" s="393">
        <v>47</v>
      </c>
      <c r="S102" s="393"/>
      <c r="T102" s="393"/>
      <c r="U102" s="393"/>
      <c r="V102" s="393">
        <v>80</v>
      </c>
    </row>
    <row r="103" spans="1:22" s="59" customFormat="1">
      <c r="A103" s="59" t="str">
        <f t="shared" si="1"/>
        <v>IndoorDenseWettable granules, soluble granulesDownward sprayingManual-Hand heldInhalation</v>
      </c>
      <c r="B103" s="124" t="s">
        <v>507</v>
      </c>
      <c r="C103" s="124" t="s">
        <v>500</v>
      </c>
      <c r="D103" s="124" t="s">
        <v>498</v>
      </c>
      <c r="E103" s="124" t="s">
        <v>499</v>
      </c>
      <c r="F103" s="124" t="s">
        <v>109</v>
      </c>
      <c r="G103" s="393">
        <v>1.38</v>
      </c>
      <c r="H103" s="393">
        <v>0.38</v>
      </c>
      <c r="I103" s="393"/>
      <c r="J103" s="393"/>
      <c r="K103" s="393">
        <v>1.81</v>
      </c>
      <c r="L103" s="393">
        <v>0.49</v>
      </c>
      <c r="M103" s="393"/>
      <c r="N103" s="393"/>
      <c r="O103" s="393"/>
      <c r="P103" s="393"/>
      <c r="Q103" s="393"/>
      <c r="R103" s="393">
        <v>47</v>
      </c>
      <c r="S103" s="393"/>
      <c r="T103" s="393"/>
      <c r="U103" s="393"/>
      <c r="V103" s="393">
        <v>80</v>
      </c>
    </row>
    <row r="104" spans="1:22" s="59" customFormat="1">
      <c r="A104" s="59" t="str">
        <f t="shared" si="1"/>
        <v>IndoorDenseWettable powder, soluble powderDownward sprayingManual-Hand heldInhalation</v>
      </c>
      <c r="B104" s="124" t="s">
        <v>507</v>
      </c>
      <c r="C104" s="124" t="s">
        <v>501</v>
      </c>
      <c r="D104" s="124" t="s">
        <v>498</v>
      </c>
      <c r="E104" s="124" t="s">
        <v>499</v>
      </c>
      <c r="F104" s="124" t="s">
        <v>109</v>
      </c>
      <c r="G104" s="393">
        <v>1.38</v>
      </c>
      <c r="H104" s="393">
        <v>0.38</v>
      </c>
      <c r="I104" s="393">
        <v>1.96</v>
      </c>
      <c r="J104" s="393"/>
      <c r="K104" s="393">
        <v>1.81</v>
      </c>
      <c r="L104" s="393">
        <v>0.49</v>
      </c>
      <c r="M104" s="393">
        <v>1.54</v>
      </c>
      <c r="N104" s="393"/>
      <c r="O104" s="393"/>
      <c r="P104" s="393"/>
      <c r="Q104" s="393"/>
      <c r="R104" s="393">
        <v>47</v>
      </c>
      <c r="S104" s="393"/>
      <c r="T104" s="393"/>
      <c r="U104" s="393"/>
      <c r="V104" s="393">
        <v>80</v>
      </c>
    </row>
    <row r="105" spans="1:22" s="59" customFormat="1">
      <c r="A105" s="59" t="str">
        <f t="shared" si="1"/>
        <v>IndoorDenseSoluble concentrates, emulsifiable concentrate, etc.Downward sprayingManual-Hand heldProtected Body</v>
      </c>
      <c r="B105" s="124" t="s">
        <v>507</v>
      </c>
      <c r="C105" s="131" t="s">
        <v>497</v>
      </c>
      <c r="D105" s="131" t="s">
        <v>498</v>
      </c>
      <c r="E105" s="131" t="s">
        <v>499</v>
      </c>
      <c r="F105" s="131" t="s">
        <v>502</v>
      </c>
      <c r="G105" s="393">
        <v>1.58</v>
      </c>
      <c r="H105" s="393">
        <v>0.62</v>
      </c>
      <c r="I105" s="393">
        <v>0.12</v>
      </c>
      <c r="J105" s="393"/>
      <c r="K105" s="393">
        <v>2.09</v>
      </c>
      <c r="L105" s="393">
        <v>0.78</v>
      </c>
      <c r="M105" s="393">
        <v>0.44</v>
      </c>
      <c r="N105" s="393"/>
      <c r="O105" s="393"/>
      <c r="P105" s="393"/>
      <c r="Q105" s="393"/>
      <c r="R105" s="393">
        <f>IF(I_PPE_appl="Rain suit &amp; trousers",80,12180)</f>
        <v>12180</v>
      </c>
      <c r="S105" s="393"/>
      <c r="T105" s="393"/>
      <c r="U105" s="393"/>
      <c r="V105" s="393">
        <f>IF(I_PPE_appl="Rain suit &amp; trousers",154,27958)</f>
        <v>27958</v>
      </c>
    </row>
    <row r="106" spans="1:22" s="59" customFormat="1">
      <c r="A106" s="59" t="str">
        <f t="shared" si="1"/>
        <v>IndoorDenseWettable granules, soluble granulesDownward sprayingManual-Hand heldProtected Body</v>
      </c>
      <c r="B106" s="124" t="s">
        <v>507</v>
      </c>
      <c r="C106" s="124" t="s">
        <v>500</v>
      </c>
      <c r="D106" s="124" t="s">
        <v>498</v>
      </c>
      <c r="E106" s="124" t="s">
        <v>499</v>
      </c>
      <c r="F106" s="124" t="s">
        <v>502</v>
      </c>
      <c r="G106" s="393">
        <v>1.58</v>
      </c>
      <c r="H106" s="393">
        <v>0.62</v>
      </c>
      <c r="I106" s="393"/>
      <c r="J106" s="393"/>
      <c r="K106" s="393">
        <v>2.09</v>
      </c>
      <c r="L106" s="393">
        <v>0.78</v>
      </c>
      <c r="M106" s="393"/>
      <c r="N106" s="393"/>
      <c r="O106" s="393"/>
      <c r="P106" s="393"/>
      <c r="Q106" s="393"/>
      <c r="R106" s="393">
        <f>IF(I_PPE_appl="Rain suit &amp; trousers",80,12180)</f>
        <v>12180</v>
      </c>
      <c r="S106" s="393"/>
      <c r="T106" s="393"/>
      <c r="U106" s="393"/>
      <c r="V106" s="393">
        <f>IF(I_PPE_appl="Rain suit &amp; trousers",154,27958)</f>
        <v>27958</v>
      </c>
    </row>
    <row r="107" spans="1:22" s="59" customFormat="1">
      <c r="A107" s="59" t="str">
        <f t="shared" si="1"/>
        <v>IndoorDenseWettable powder, soluble powderDownward sprayingManual-Hand heldProtected Body</v>
      </c>
      <c r="B107" s="124" t="s">
        <v>507</v>
      </c>
      <c r="C107" s="131" t="s">
        <v>501</v>
      </c>
      <c r="D107" s="131" t="s">
        <v>498</v>
      </c>
      <c r="E107" s="131" t="s">
        <v>499</v>
      </c>
      <c r="F107" s="131" t="s">
        <v>502</v>
      </c>
      <c r="G107" s="393">
        <v>1.58</v>
      </c>
      <c r="H107" s="393">
        <v>0.62</v>
      </c>
      <c r="I107" s="393">
        <v>1.84</v>
      </c>
      <c r="J107" s="393"/>
      <c r="K107" s="393">
        <v>2.09</v>
      </c>
      <c r="L107" s="393">
        <v>0.78</v>
      </c>
      <c r="M107" s="393">
        <v>1.58</v>
      </c>
      <c r="N107" s="393"/>
      <c r="O107" s="393"/>
      <c r="P107" s="393"/>
      <c r="Q107" s="393"/>
      <c r="R107" s="393">
        <f>IF(I_PPE_appl="Rain suit &amp; trousers",80,12180)</f>
        <v>12180</v>
      </c>
      <c r="S107" s="393"/>
      <c r="T107" s="393"/>
      <c r="U107" s="393"/>
      <c r="V107" s="393">
        <f>IF(I_PPE_appl="Rain suit &amp; trousers",154,27958)</f>
        <v>27958</v>
      </c>
    </row>
    <row r="108" spans="1:22" s="59" customFormat="1">
      <c r="A108" s="59" t="str">
        <f t="shared" si="1"/>
        <v>IndoorDenseSoluble concentrates, emulsifiable concentrate, etc.Downward sprayingManual-Hand heldProtected Hands</v>
      </c>
      <c r="B108" s="124" t="s">
        <v>507</v>
      </c>
      <c r="C108" s="131" t="s">
        <v>497</v>
      </c>
      <c r="D108" s="131" t="s">
        <v>498</v>
      </c>
      <c r="E108" s="131" t="s">
        <v>499</v>
      </c>
      <c r="F108" s="131" t="s">
        <v>503</v>
      </c>
      <c r="G108" s="393">
        <v>1.46</v>
      </c>
      <c r="H108" s="393">
        <v>0.46</v>
      </c>
      <c r="I108" s="393">
        <v>0.32</v>
      </c>
      <c r="J108" s="393"/>
      <c r="K108" s="393">
        <v>2.29</v>
      </c>
      <c r="L108" s="393">
        <v>0.53</v>
      </c>
      <c r="M108" s="393">
        <v>0.83</v>
      </c>
      <c r="N108" s="393"/>
      <c r="O108" s="393"/>
      <c r="P108" s="393"/>
      <c r="Q108" s="393"/>
      <c r="R108" s="393">
        <v>1.5</v>
      </c>
      <c r="S108" s="393"/>
      <c r="T108" s="393"/>
      <c r="U108" s="393"/>
      <c r="V108" s="393">
        <v>12</v>
      </c>
    </row>
    <row r="109" spans="1:22" s="59" customFormat="1">
      <c r="A109" s="59" t="str">
        <f t="shared" si="1"/>
        <v>IndoorDenseWettable granules, soluble granulesDownward sprayingManual-Hand heldProtected Hands</v>
      </c>
      <c r="B109" s="124" t="s">
        <v>507</v>
      </c>
      <c r="C109" s="131" t="s">
        <v>500</v>
      </c>
      <c r="D109" s="131" t="s">
        <v>498</v>
      </c>
      <c r="E109" s="131" t="s">
        <v>499</v>
      </c>
      <c r="F109" s="131" t="s">
        <v>503</v>
      </c>
      <c r="G109" s="393">
        <v>1.46</v>
      </c>
      <c r="H109" s="393">
        <v>0.46</v>
      </c>
      <c r="I109" s="393"/>
      <c r="J109" s="393"/>
      <c r="K109" s="393">
        <v>2.29</v>
      </c>
      <c r="L109" s="393">
        <v>0.53</v>
      </c>
      <c r="M109" s="393"/>
      <c r="N109" s="393"/>
      <c r="O109" s="393"/>
      <c r="P109" s="393"/>
      <c r="Q109" s="393"/>
      <c r="R109" s="393">
        <v>1.5</v>
      </c>
      <c r="S109" s="393"/>
      <c r="T109" s="393"/>
      <c r="U109" s="393"/>
      <c r="V109" s="393">
        <v>12</v>
      </c>
    </row>
    <row r="110" spans="1:22" s="59" customFormat="1">
      <c r="A110" s="59" t="str">
        <f t="shared" si="1"/>
        <v>IndoorDenseWettable powder, soluble powderDownward sprayingManual-Hand heldProtected Hands</v>
      </c>
      <c r="B110" s="124" t="s">
        <v>507</v>
      </c>
      <c r="C110" s="131" t="s">
        <v>501</v>
      </c>
      <c r="D110" s="131" t="s">
        <v>498</v>
      </c>
      <c r="E110" s="131" t="s">
        <v>499</v>
      </c>
      <c r="F110" s="131" t="s">
        <v>503</v>
      </c>
      <c r="G110" s="393">
        <v>1.46</v>
      </c>
      <c r="H110" s="393">
        <v>0.46</v>
      </c>
      <c r="I110" s="393">
        <v>1.66</v>
      </c>
      <c r="J110" s="393"/>
      <c r="K110" s="393">
        <v>2.29</v>
      </c>
      <c r="L110" s="393">
        <v>0.53</v>
      </c>
      <c r="M110" s="393">
        <v>1.39</v>
      </c>
      <c r="N110" s="393"/>
      <c r="O110" s="393"/>
      <c r="P110" s="393"/>
      <c r="Q110" s="393"/>
      <c r="R110" s="393">
        <v>1.5</v>
      </c>
      <c r="S110" s="393"/>
      <c r="T110" s="393"/>
      <c r="U110" s="393"/>
      <c r="V110" s="393">
        <v>12</v>
      </c>
    </row>
    <row r="111" spans="1:22" s="59" customFormat="1">
      <c r="A111" s="59" t="str">
        <f t="shared" si="1"/>
        <v>IndoorDenseSoluble concentrates, emulsifiable concentrate, etc.Downward sprayingManual-KnapsackBody</v>
      </c>
      <c r="B111" s="124" t="s">
        <v>507</v>
      </c>
      <c r="C111" s="124" t="s">
        <v>497</v>
      </c>
      <c r="D111" s="124" t="s">
        <v>498</v>
      </c>
      <c r="E111" s="124" t="s">
        <v>504</v>
      </c>
      <c r="F111" s="124" t="s">
        <v>420</v>
      </c>
      <c r="G111" s="393"/>
      <c r="H111" s="393"/>
      <c r="I111" s="393"/>
      <c r="J111" s="393">
        <v>803</v>
      </c>
      <c r="K111" s="393"/>
      <c r="L111" s="393"/>
      <c r="M111" s="393"/>
      <c r="N111" s="393">
        <v>2787</v>
      </c>
      <c r="O111" s="393"/>
      <c r="P111" s="393"/>
      <c r="Q111" s="393"/>
      <c r="R111" s="393">
        <v>55521</v>
      </c>
      <c r="S111" s="393"/>
      <c r="T111" s="393"/>
      <c r="U111" s="393"/>
      <c r="V111" s="393">
        <v>85382</v>
      </c>
    </row>
    <row r="112" spans="1:22" s="59" customFormat="1">
      <c r="A112" s="59" t="str">
        <f t="shared" si="1"/>
        <v>IndoorDenseWettable granules, soluble granulesDownward sprayingManual-KnapsackBody</v>
      </c>
      <c r="B112" s="124" t="s">
        <v>507</v>
      </c>
      <c r="C112" s="124" t="s">
        <v>500</v>
      </c>
      <c r="D112" s="124" t="s">
        <v>498</v>
      </c>
      <c r="E112" s="124" t="s">
        <v>504</v>
      </c>
      <c r="F112" s="124" t="s">
        <v>420</v>
      </c>
      <c r="G112" s="393"/>
      <c r="H112" s="393"/>
      <c r="I112" s="393"/>
      <c r="J112" s="393">
        <v>803</v>
      </c>
      <c r="K112" s="393"/>
      <c r="L112" s="393"/>
      <c r="M112" s="393"/>
      <c r="N112" s="393">
        <v>2787</v>
      </c>
      <c r="O112" s="393"/>
      <c r="P112" s="393"/>
      <c r="Q112" s="393"/>
      <c r="R112" s="393">
        <v>55521</v>
      </c>
      <c r="S112" s="393"/>
      <c r="T112" s="393"/>
      <c r="U112" s="393"/>
      <c r="V112" s="393">
        <v>85382</v>
      </c>
    </row>
    <row r="113" spans="1:22" s="59" customFormat="1">
      <c r="A113" s="59" t="str">
        <f t="shared" si="1"/>
        <v>IndoorDenseWettable powder, soluble powderDownward sprayingManual-KnapsackBody</v>
      </c>
      <c r="B113" s="124" t="s">
        <v>507</v>
      </c>
      <c r="C113" s="124" t="s">
        <v>501</v>
      </c>
      <c r="D113" s="124" t="s">
        <v>498</v>
      </c>
      <c r="E113" s="124" t="s">
        <v>504</v>
      </c>
      <c r="F113" s="124" t="s">
        <v>420</v>
      </c>
      <c r="G113" s="393"/>
      <c r="H113" s="393"/>
      <c r="I113" s="393"/>
      <c r="J113" s="393">
        <v>803</v>
      </c>
      <c r="K113" s="393"/>
      <c r="L113" s="393"/>
      <c r="M113" s="393"/>
      <c r="N113" s="393">
        <v>2787</v>
      </c>
      <c r="O113" s="393"/>
      <c r="P113" s="393"/>
      <c r="Q113" s="393"/>
      <c r="R113" s="393">
        <v>55521</v>
      </c>
      <c r="S113" s="393"/>
      <c r="T113" s="393"/>
      <c r="U113" s="393"/>
      <c r="V113" s="393">
        <v>85382</v>
      </c>
    </row>
    <row r="114" spans="1:22" s="59" customFormat="1">
      <c r="A114" s="59" t="str">
        <f t="shared" si="1"/>
        <v>IndoorDenseSoluble concentrates, emulsifiable concentrate, etc.Downward sprayingManual-KnapsackHands</v>
      </c>
      <c r="B114" s="124" t="s">
        <v>507</v>
      </c>
      <c r="C114" s="124" t="s">
        <v>497</v>
      </c>
      <c r="D114" s="124" t="s">
        <v>498</v>
      </c>
      <c r="E114" s="124" t="s">
        <v>504</v>
      </c>
      <c r="F114" s="124" t="s">
        <v>418</v>
      </c>
      <c r="G114" s="393"/>
      <c r="H114" s="393"/>
      <c r="I114" s="393"/>
      <c r="J114" s="393">
        <v>9497</v>
      </c>
      <c r="K114" s="393"/>
      <c r="L114" s="393"/>
      <c r="M114" s="393"/>
      <c r="N114" s="393">
        <v>25490</v>
      </c>
      <c r="O114" s="393"/>
      <c r="P114" s="393"/>
      <c r="Q114" s="393"/>
      <c r="R114" s="393">
        <v>1323</v>
      </c>
      <c r="S114" s="393"/>
      <c r="T114" s="393"/>
      <c r="U114" s="393"/>
      <c r="V114" s="393">
        <v>4159</v>
      </c>
    </row>
    <row r="115" spans="1:22" s="59" customFormat="1">
      <c r="A115" s="59" t="str">
        <f t="shared" si="1"/>
        <v>IndoorDenseWettable granules, soluble granulesDownward sprayingManual-KnapsackHands</v>
      </c>
      <c r="B115" s="124" t="s">
        <v>507</v>
      </c>
      <c r="C115" s="124" t="s">
        <v>500</v>
      </c>
      <c r="D115" s="124" t="s">
        <v>498</v>
      </c>
      <c r="E115" s="124" t="s">
        <v>504</v>
      </c>
      <c r="F115" s="124" t="s">
        <v>418</v>
      </c>
      <c r="G115" s="393"/>
      <c r="H115" s="393"/>
      <c r="I115" s="393"/>
      <c r="J115" s="393">
        <v>9497</v>
      </c>
      <c r="K115" s="393"/>
      <c r="L115" s="393"/>
      <c r="M115" s="393"/>
      <c r="N115" s="393">
        <v>25490</v>
      </c>
      <c r="O115" s="393"/>
      <c r="P115" s="393"/>
      <c r="Q115" s="393"/>
      <c r="R115" s="393">
        <v>1323</v>
      </c>
      <c r="S115" s="393"/>
      <c r="T115" s="393"/>
      <c r="U115" s="393"/>
      <c r="V115" s="393">
        <v>4159</v>
      </c>
    </row>
    <row r="116" spans="1:22" s="59" customFormat="1">
      <c r="A116" s="59" t="str">
        <f t="shared" si="1"/>
        <v>IndoorDenseWettable powder, soluble powderDownward sprayingManual-KnapsackHands</v>
      </c>
      <c r="B116" s="124" t="s">
        <v>507</v>
      </c>
      <c r="C116" s="124" t="s">
        <v>501</v>
      </c>
      <c r="D116" s="124" t="s">
        <v>498</v>
      </c>
      <c r="E116" s="124" t="s">
        <v>504</v>
      </c>
      <c r="F116" s="124" t="s">
        <v>418</v>
      </c>
      <c r="G116" s="393"/>
      <c r="H116" s="393"/>
      <c r="I116" s="393"/>
      <c r="J116" s="393">
        <v>9497</v>
      </c>
      <c r="K116" s="393"/>
      <c r="L116" s="393"/>
      <c r="M116" s="393"/>
      <c r="N116" s="393">
        <v>25490</v>
      </c>
      <c r="O116" s="393"/>
      <c r="P116" s="393"/>
      <c r="Q116" s="393"/>
      <c r="R116" s="393">
        <v>1323</v>
      </c>
      <c r="S116" s="393"/>
      <c r="T116" s="393"/>
      <c r="U116" s="393"/>
      <c r="V116" s="393">
        <v>4159</v>
      </c>
    </row>
    <row r="117" spans="1:22" s="59" customFormat="1">
      <c r="A117" s="59" t="str">
        <f t="shared" si="1"/>
        <v>IndoorDenseSoluble concentrates, emulsifiable concentrate, etc.Downward sprayingManual-KnapsackHead</v>
      </c>
      <c r="B117" s="124" t="s">
        <v>507</v>
      </c>
      <c r="C117" s="124" t="s">
        <v>497</v>
      </c>
      <c r="D117" s="124" t="s">
        <v>498</v>
      </c>
      <c r="E117" s="124" t="s">
        <v>504</v>
      </c>
      <c r="F117" s="124" t="s">
        <v>104</v>
      </c>
      <c r="G117" s="393"/>
      <c r="H117" s="393"/>
      <c r="I117" s="393"/>
      <c r="J117" s="393">
        <v>5.5</v>
      </c>
      <c r="K117" s="393"/>
      <c r="L117" s="393"/>
      <c r="M117" s="393"/>
      <c r="N117" s="393">
        <v>11</v>
      </c>
      <c r="O117" s="393"/>
      <c r="P117" s="393"/>
      <c r="Q117" s="393"/>
      <c r="R117" s="393">
        <v>21</v>
      </c>
      <c r="S117" s="393"/>
      <c r="T117" s="393"/>
      <c r="U117" s="393"/>
      <c r="V117" s="393">
        <v>39</v>
      </c>
    </row>
    <row r="118" spans="1:22" s="59" customFormat="1">
      <c r="A118" s="59" t="str">
        <f t="shared" si="1"/>
        <v>IndoorDenseWettable granules, soluble granulesDownward sprayingManual-KnapsackHead</v>
      </c>
      <c r="B118" s="124" t="s">
        <v>507</v>
      </c>
      <c r="C118" s="124" t="s">
        <v>500</v>
      </c>
      <c r="D118" s="124" t="s">
        <v>498</v>
      </c>
      <c r="E118" s="124" t="s">
        <v>504</v>
      </c>
      <c r="F118" s="124" t="s">
        <v>104</v>
      </c>
      <c r="G118" s="393"/>
      <c r="H118" s="393"/>
      <c r="I118" s="393"/>
      <c r="J118" s="393">
        <v>5.5</v>
      </c>
      <c r="K118" s="393"/>
      <c r="L118" s="393"/>
      <c r="M118" s="393"/>
      <c r="N118" s="393">
        <v>11</v>
      </c>
      <c r="O118" s="393"/>
      <c r="P118" s="393"/>
      <c r="Q118" s="393"/>
      <c r="R118" s="393">
        <v>21</v>
      </c>
      <c r="S118" s="393"/>
      <c r="T118" s="393"/>
      <c r="U118" s="393"/>
      <c r="V118" s="393">
        <v>39</v>
      </c>
    </row>
    <row r="119" spans="1:22" s="59" customFormat="1">
      <c r="A119" s="59" t="str">
        <f t="shared" si="1"/>
        <v>IndoorDenseWettable powder, soluble powderDownward sprayingManual-KnapsackHead</v>
      </c>
      <c r="B119" s="124" t="s">
        <v>507</v>
      </c>
      <c r="C119" s="124" t="s">
        <v>501</v>
      </c>
      <c r="D119" s="124" t="s">
        <v>498</v>
      </c>
      <c r="E119" s="124" t="s">
        <v>504</v>
      </c>
      <c r="F119" s="124" t="s">
        <v>104</v>
      </c>
      <c r="G119" s="393"/>
      <c r="H119" s="393"/>
      <c r="I119" s="393"/>
      <c r="J119" s="393">
        <v>5.5</v>
      </c>
      <c r="K119" s="393"/>
      <c r="L119" s="393"/>
      <c r="M119" s="393"/>
      <c r="N119" s="393">
        <v>11</v>
      </c>
      <c r="O119" s="393"/>
      <c r="P119" s="393"/>
      <c r="Q119" s="393"/>
      <c r="R119" s="393">
        <v>21</v>
      </c>
      <c r="S119" s="393"/>
      <c r="T119" s="393"/>
      <c r="U119" s="393"/>
      <c r="V119" s="393">
        <v>39</v>
      </c>
    </row>
    <row r="120" spans="1:22" s="59" customFormat="1">
      <c r="A120" s="59" t="str">
        <f t="shared" si="1"/>
        <v>IndoorDenseSoluble concentrates, emulsifiable concentrate, etc.Downward sprayingManual-KnapsackInhalation</v>
      </c>
      <c r="B120" s="124" t="s">
        <v>507</v>
      </c>
      <c r="C120" s="124" t="s">
        <v>497</v>
      </c>
      <c r="D120" s="124" t="s">
        <v>498</v>
      </c>
      <c r="E120" s="124" t="s">
        <v>504</v>
      </c>
      <c r="F120" s="124" t="s">
        <v>109</v>
      </c>
      <c r="G120" s="393"/>
      <c r="H120" s="393"/>
      <c r="I120" s="393"/>
      <c r="J120" s="393">
        <v>35</v>
      </c>
      <c r="K120" s="393"/>
      <c r="L120" s="393"/>
      <c r="M120" s="393"/>
      <c r="N120" s="393">
        <v>36</v>
      </c>
      <c r="O120" s="393"/>
      <c r="P120" s="393"/>
      <c r="Q120" s="393"/>
      <c r="R120" s="393">
        <v>47</v>
      </c>
      <c r="S120" s="393"/>
      <c r="T120" s="393"/>
      <c r="U120" s="393"/>
      <c r="V120" s="393">
        <v>80</v>
      </c>
    </row>
    <row r="121" spans="1:22" s="59" customFormat="1">
      <c r="A121" s="59" t="str">
        <f t="shared" si="1"/>
        <v>IndoorDenseWettable granules, soluble granulesDownward sprayingManual-KnapsackInhalation</v>
      </c>
      <c r="B121" s="124" t="s">
        <v>507</v>
      </c>
      <c r="C121" s="124" t="s">
        <v>500</v>
      </c>
      <c r="D121" s="124" t="s">
        <v>498</v>
      </c>
      <c r="E121" s="124" t="s">
        <v>504</v>
      </c>
      <c r="F121" s="124" t="s">
        <v>109</v>
      </c>
      <c r="G121" s="393"/>
      <c r="H121" s="393"/>
      <c r="I121" s="393"/>
      <c r="J121" s="393">
        <v>35</v>
      </c>
      <c r="K121" s="393"/>
      <c r="L121" s="393"/>
      <c r="M121" s="393"/>
      <c r="N121" s="393">
        <v>36</v>
      </c>
      <c r="O121" s="393"/>
      <c r="P121" s="393"/>
      <c r="Q121" s="393"/>
      <c r="R121" s="393">
        <v>47</v>
      </c>
      <c r="S121" s="393"/>
      <c r="T121" s="393"/>
      <c r="U121" s="393"/>
      <c r="V121" s="393">
        <v>80</v>
      </c>
    </row>
    <row r="122" spans="1:22" s="59" customFormat="1">
      <c r="A122" s="59" t="str">
        <f t="shared" si="1"/>
        <v>IndoorDenseWettable powder, soluble powderDownward sprayingManual-KnapsackInhalation</v>
      </c>
      <c r="B122" s="124" t="s">
        <v>507</v>
      </c>
      <c r="C122" s="124" t="s">
        <v>501</v>
      </c>
      <c r="D122" s="124" t="s">
        <v>498</v>
      </c>
      <c r="E122" s="124" t="s">
        <v>504</v>
      </c>
      <c r="F122" s="124" t="s">
        <v>109</v>
      </c>
      <c r="G122" s="393"/>
      <c r="H122" s="393"/>
      <c r="I122" s="393"/>
      <c r="J122" s="393">
        <v>35</v>
      </c>
      <c r="K122" s="393"/>
      <c r="L122" s="393"/>
      <c r="M122" s="393"/>
      <c r="N122" s="393">
        <v>36</v>
      </c>
      <c r="O122" s="393"/>
      <c r="P122" s="393"/>
      <c r="Q122" s="393"/>
      <c r="R122" s="393">
        <v>47</v>
      </c>
      <c r="S122" s="393"/>
      <c r="T122" s="393"/>
      <c r="U122" s="393"/>
      <c r="V122" s="393">
        <v>80</v>
      </c>
    </row>
    <row r="123" spans="1:22" s="59" customFormat="1">
      <c r="A123" s="59" t="str">
        <f t="shared" si="1"/>
        <v>IndoorDenseSoluble concentrates, emulsifiable concentrate, etc.Downward sprayingManual-KnapsackProtected Body</v>
      </c>
      <c r="B123" s="124" t="s">
        <v>507</v>
      </c>
      <c r="C123" s="131" t="s">
        <v>497</v>
      </c>
      <c r="D123" s="131" t="s">
        <v>498</v>
      </c>
      <c r="E123" s="131" t="s">
        <v>504</v>
      </c>
      <c r="F123" s="131" t="s">
        <v>502</v>
      </c>
      <c r="G123" s="393"/>
      <c r="H123" s="393"/>
      <c r="I123" s="393"/>
      <c r="J123" s="393">
        <v>25</v>
      </c>
      <c r="K123" s="393"/>
      <c r="L123" s="393"/>
      <c r="M123" s="393"/>
      <c r="N123" s="393">
        <v>103</v>
      </c>
      <c r="O123" s="393"/>
      <c r="P123" s="393"/>
      <c r="Q123" s="393"/>
      <c r="R123" s="393">
        <f>IF(I_PPE_appl="Rain suit &amp; trousers",80,12180)</f>
        <v>12180</v>
      </c>
      <c r="S123" s="393"/>
      <c r="T123" s="393"/>
      <c r="U123" s="393"/>
      <c r="V123" s="393">
        <f>IF(I_PPE_appl="Rain suit &amp; trousers",154,27958)</f>
        <v>27958</v>
      </c>
    </row>
    <row r="124" spans="1:22" s="59" customFormat="1">
      <c r="A124" s="59" t="str">
        <f t="shared" si="1"/>
        <v>IndoorDenseWettable granules, soluble granulesDownward sprayingManual-KnapsackProtected Body</v>
      </c>
      <c r="B124" s="124" t="s">
        <v>507</v>
      </c>
      <c r="C124" s="131" t="s">
        <v>500</v>
      </c>
      <c r="D124" s="131" t="s">
        <v>498</v>
      </c>
      <c r="E124" s="131" t="s">
        <v>504</v>
      </c>
      <c r="F124" s="131" t="s">
        <v>502</v>
      </c>
      <c r="G124" s="393"/>
      <c r="H124" s="393"/>
      <c r="I124" s="393"/>
      <c r="J124" s="393">
        <v>25</v>
      </c>
      <c r="K124" s="393"/>
      <c r="L124" s="393"/>
      <c r="M124" s="393"/>
      <c r="N124" s="393">
        <v>103</v>
      </c>
      <c r="O124" s="393"/>
      <c r="P124" s="393"/>
      <c r="Q124" s="393"/>
      <c r="R124" s="393">
        <f>IF(I_PPE_appl="Rain suit &amp; trousers",80,12180)</f>
        <v>12180</v>
      </c>
      <c r="S124" s="393"/>
      <c r="T124" s="393"/>
      <c r="U124" s="393"/>
      <c r="V124" s="393">
        <f>IF(I_PPE_appl="Rain suit &amp; trousers",154,27958)</f>
        <v>27958</v>
      </c>
    </row>
    <row r="125" spans="1:22" s="59" customFormat="1">
      <c r="A125" s="59" t="str">
        <f t="shared" si="1"/>
        <v>IndoorDenseWettable powder, soluble powderDownward sprayingManual-KnapsackProtected Body</v>
      </c>
      <c r="B125" s="124" t="s">
        <v>507</v>
      </c>
      <c r="C125" s="131" t="s">
        <v>501</v>
      </c>
      <c r="D125" s="131" t="s">
        <v>498</v>
      </c>
      <c r="E125" s="131" t="s">
        <v>504</v>
      </c>
      <c r="F125" s="131" t="s">
        <v>502</v>
      </c>
      <c r="G125" s="393"/>
      <c r="H125" s="393"/>
      <c r="I125" s="393"/>
      <c r="J125" s="393">
        <v>25</v>
      </c>
      <c r="K125" s="393"/>
      <c r="L125" s="393"/>
      <c r="M125" s="393"/>
      <c r="N125" s="393">
        <v>103</v>
      </c>
      <c r="O125" s="393"/>
      <c r="P125" s="393"/>
      <c r="Q125" s="393"/>
      <c r="R125" s="393">
        <f>IF(I_PPE_appl="Rain suit &amp; trousers",80,12180)</f>
        <v>12180</v>
      </c>
      <c r="S125" s="393"/>
      <c r="T125" s="393"/>
      <c r="U125" s="393"/>
      <c r="V125" s="393">
        <f>IF(I_PPE_appl="Rain suit &amp; trousers",154,27958)</f>
        <v>27958</v>
      </c>
    </row>
    <row r="126" spans="1:22" s="59" customFormat="1">
      <c r="A126" s="59" t="str">
        <f t="shared" si="1"/>
        <v>IndoorDenseWettable granules, soluble granulesDownward sprayingManual-KnapsackProtected Hands</v>
      </c>
      <c r="B126" s="124" t="s">
        <v>507</v>
      </c>
      <c r="C126" s="131" t="s">
        <v>500</v>
      </c>
      <c r="D126" s="131" t="s">
        <v>498</v>
      </c>
      <c r="E126" s="131" t="s">
        <v>504</v>
      </c>
      <c r="F126" s="131" t="s">
        <v>503</v>
      </c>
      <c r="G126" s="393"/>
      <c r="H126" s="393"/>
      <c r="I126" s="393"/>
      <c r="J126" s="393">
        <v>21</v>
      </c>
      <c r="K126" s="393"/>
      <c r="L126" s="393"/>
      <c r="M126" s="393"/>
      <c r="N126" s="393">
        <v>164</v>
      </c>
      <c r="O126" s="393"/>
      <c r="P126" s="393"/>
      <c r="Q126" s="393"/>
      <c r="R126" s="393">
        <v>1.5</v>
      </c>
      <c r="S126" s="393"/>
      <c r="T126" s="393"/>
      <c r="U126" s="393"/>
      <c r="V126" s="393">
        <v>12</v>
      </c>
    </row>
    <row r="127" spans="1:22" s="59" customFormat="1">
      <c r="A127" s="59" t="str">
        <f t="shared" si="1"/>
        <v>IndoorDenseSoluble concentrates, emulsifiable concentrate, etc.Downward sprayingManual-KnapsackProtected Hands</v>
      </c>
      <c r="B127" s="124" t="s">
        <v>507</v>
      </c>
      <c r="C127" s="131" t="s">
        <v>497</v>
      </c>
      <c r="D127" s="131" t="s">
        <v>498</v>
      </c>
      <c r="E127" s="131" t="s">
        <v>504</v>
      </c>
      <c r="F127" s="131" t="s">
        <v>503</v>
      </c>
      <c r="G127" s="393"/>
      <c r="H127" s="393"/>
      <c r="I127" s="393"/>
      <c r="J127" s="393">
        <v>21</v>
      </c>
      <c r="K127" s="393"/>
      <c r="L127" s="393"/>
      <c r="M127" s="393"/>
      <c r="N127" s="393">
        <v>164</v>
      </c>
      <c r="O127" s="393"/>
      <c r="P127" s="393"/>
      <c r="Q127" s="393"/>
      <c r="R127" s="393">
        <v>1.5</v>
      </c>
      <c r="S127" s="393"/>
      <c r="T127" s="393"/>
      <c r="U127" s="393"/>
      <c r="V127" s="393">
        <v>12</v>
      </c>
    </row>
    <row r="128" spans="1:22" s="59" customFormat="1">
      <c r="A128" s="59" t="str">
        <f t="shared" si="1"/>
        <v>IndoorDenseWettable powder, soluble powderDownward sprayingManual-KnapsackProtected Hands</v>
      </c>
      <c r="B128" s="124" t="s">
        <v>507</v>
      </c>
      <c r="C128" s="131" t="s">
        <v>501</v>
      </c>
      <c r="D128" s="131" t="s">
        <v>498</v>
      </c>
      <c r="E128" s="131" t="s">
        <v>504</v>
      </c>
      <c r="F128" s="131" t="s">
        <v>503</v>
      </c>
      <c r="G128" s="393"/>
      <c r="H128" s="393"/>
      <c r="I128" s="393"/>
      <c r="J128" s="393">
        <v>21</v>
      </c>
      <c r="K128" s="393"/>
      <c r="L128" s="393"/>
      <c r="M128" s="393"/>
      <c r="N128" s="393">
        <v>164</v>
      </c>
      <c r="O128" s="393"/>
      <c r="P128" s="393"/>
      <c r="Q128" s="393"/>
      <c r="R128" s="393">
        <v>1.5</v>
      </c>
      <c r="S128" s="393"/>
      <c r="T128" s="393"/>
      <c r="U128" s="393"/>
      <c r="V128" s="393">
        <v>12</v>
      </c>
    </row>
    <row r="129" spans="1:22" s="59" customFormat="1">
      <c r="A129" s="59" t="str">
        <f t="shared" si="1"/>
        <v>IndoorDenseSoluble concentrates, emulsifiable concentrate, etc.Upward sprayingManual-Hand heldBody</v>
      </c>
      <c r="B129" s="124" t="s">
        <v>507</v>
      </c>
      <c r="C129" s="124" t="s">
        <v>497</v>
      </c>
      <c r="D129" s="124" t="s">
        <v>505</v>
      </c>
      <c r="E129" s="124" t="s">
        <v>499</v>
      </c>
      <c r="F129" s="124" t="s">
        <v>420</v>
      </c>
      <c r="G129" s="393">
        <v>3.04</v>
      </c>
      <c r="H129" s="393">
        <v>0.74</v>
      </c>
      <c r="I129" s="393">
        <v>0.52</v>
      </c>
      <c r="J129" s="393"/>
      <c r="K129" s="393">
        <v>3.87</v>
      </c>
      <c r="L129" s="393">
        <v>0.69</v>
      </c>
      <c r="M129" s="393">
        <v>0.72</v>
      </c>
      <c r="N129" s="393"/>
      <c r="O129" s="393">
        <v>5.59</v>
      </c>
      <c r="P129" s="393">
        <v>1</v>
      </c>
      <c r="Q129" s="393">
        <v>0.67</v>
      </c>
      <c r="R129" s="393"/>
      <c r="S129" s="393">
        <v>6.1</v>
      </c>
      <c r="T129" s="393">
        <v>1</v>
      </c>
      <c r="U129" s="393">
        <v>0.48</v>
      </c>
      <c r="V129" s="393"/>
    </row>
    <row r="130" spans="1:22" s="59" customFormat="1">
      <c r="A130" s="59" t="str">
        <f t="shared" si="1"/>
        <v>IndoorDenseWettable granules, soluble granulesUpward sprayingManual-Hand heldBody</v>
      </c>
      <c r="B130" s="124" t="s">
        <v>507</v>
      </c>
      <c r="C130" s="124" t="s">
        <v>500</v>
      </c>
      <c r="D130" s="124" t="s">
        <v>505</v>
      </c>
      <c r="E130" s="124" t="s">
        <v>499</v>
      </c>
      <c r="F130" s="124" t="s">
        <v>420</v>
      </c>
      <c r="G130" s="393">
        <v>3.04</v>
      </c>
      <c r="H130" s="393">
        <v>0.74</v>
      </c>
      <c r="I130" s="393"/>
      <c r="J130" s="393"/>
      <c r="K130" s="393">
        <v>3.87</v>
      </c>
      <c r="L130" s="393">
        <v>0.69</v>
      </c>
      <c r="M130" s="393"/>
      <c r="N130" s="393"/>
      <c r="O130" s="393">
        <v>5.59</v>
      </c>
      <c r="P130" s="393">
        <v>1</v>
      </c>
      <c r="Q130" s="393">
        <v>0.67</v>
      </c>
      <c r="R130" s="393"/>
      <c r="S130" s="393">
        <v>6.1</v>
      </c>
      <c r="T130" s="393">
        <v>1</v>
      </c>
      <c r="U130" s="393">
        <v>0.48</v>
      </c>
      <c r="V130" s="393"/>
    </row>
    <row r="131" spans="1:22" s="59" customFormat="1">
      <c r="A131" s="59" t="str">
        <f t="shared" ref="A131:A194" si="2">B131&amp;C131&amp;D131&amp;E131&amp;F131</f>
        <v>IndoorDenseWettable powder, soluble powderUpward sprayingManual-Hand heldBody</v>
      </c>
      <c r="B131" s="124" t="s">
        <v>507</v>
      </c>
      <c r="C131" s="124" t="s">
        <v>501</v>
      </c>
      <c r="D131" s="124" t="s">
        <v>505</v>
      </c>
      <c r="E131" s="124" t="s">
        <v>499</v>
      </c>
      <c r="F131" s="124" t="s">
        <v>420</v>
      </c>
      <c r="G131" s="393">
        <v>3.04</v>
      </c>
      <c r="H131" s="393">
        <v>0.74</v>
      </c>
      <c r="I131" s="393">
        <v>1.85</v>
      </c>
      <c r="J131" s="393"/>
      <c r="K131" s="393">
        <v>3.87</v>
      </c>
      <c r="L131" s="393">
        <v>0.69</v>
      </c>
      <c r="M131" s="393">
        <v>1.29</v>
      </c>
      <c r="N131" s="393"/>
      <c r="O131" s="393">
        <v>5.59</v>
      </c>
      <c r="P131" s="393">
        <v>1</v>
      </c>
      <c r="Q131" s="393">
        <v>0.67</v>
      </c>
      <c r="R131" s="393"/>
      <c r="S131" s="393">
        <v>6.1</v>
      </c>
      <c r="T131" s="393">
        <v>1</v>
      </c>
      <c r="U131" s="393">
        <v>0.48</v>
      </c>
      <c r="V131" s="393"/>
    </row>
    <row r="132" spans="1:22" s="59" customFormat="1">
      <c r="A132" s="59" t="str">
        <f t="shared" si="2"/>
        <v>IndoorDenseSoluble concentrates, emulsifiable concentrate, etc.Upward sprayingManual-Hand heldHands</v>
      </c>
      <c r="B132" s="124" t="s">
        <v>507</v>
      </c>
      <c r="C132" s="124" t="s">
        <v>497</v>
      </c>
      <c r="D132" s="124" t="s">
        <v>505</v>
      </c>
      <c r="E132" s="124" t="s">
        <v>499</v>
      </c>
      <c r="F132" s="124" t="s">
        <v>418</v>
      </c>
      <c r="G132" s="393">
        <v>3.27</v>
      </c>
      <c r="H132" s="393">
        <v>0.64</v>
      </c>
      <c r="I132" s="393">
        <v>0.64</v>
      </c>
      <c r="J132" s="393"/>
      <c r="K132" s="393">
        <v>3.74</v>
      </c>
      <c r="L132" s="393">
        <v>0.69</v>
      </c>
      <c r="M132" s="393">
        <v>0.71</v>
      </c>
      <c r="N132" s="393"/>
      <c r="O132" s="393">
        <v>4.4000000000000004</v>
      </c>
      <c r="P132" s="393">
        <v>0.83</v>
      </c>
      <c r="Q132" s="393">
        <v>0.17</v>
      </c>
      <c r="R132" s="393"/>
      <c r="S132" s="393">
        <v>4.8099999999999996</v>
      </c>
      <c r="T132" s="393">
        <v>0.84</v>
      </c>
      <c r="U132" s="393">
        <v>0.14000000000000001</v>
      </c>
      <c r="V132" s="393"/>
    </row>
    <row r="133" spans="1:22" s="59" customFormat="1">
      <c r="A133" s="59" t="str">
        <f t="shared" si="2"/>
        <v>IndoorDenseWettable granules, soluble granulesUpward sprayingManual-Hand heldHands</v>
      </c>
      <c r="B133" s="124" t="s">
        <v>507</v>
      </c>
      <c r="C133" s="124" t="s">
        <v>500</v>
      </c>
      <c r="D133" s="124" t="s">
        <v>505</v>
      </c>
      <c r="E133" s="124" t="s">
        <v>499</v>
      </c>
      <c r="F133" s="124" t="s">
        <v>418</v>
      </c>
      <c r="G133" s="393">
        <v>3.27</v>
      </c>
      <c r="H133" s="393">
        <v>0.64</v>
      </c>
      <c r="I133" s="393">
        <v>0</v>
      </c>
      <c r="J133" s="393"/>
      <c r="K133" s="393">
        <v>3.74</v>
      </c>
      <c r="L133" s="393">
        <v>0.69</v>
      </c>
      <c r="M133" s="393">
        <v>0</v>
      </c>
      <c r="N133" s="393"/>
      <c r="O133" s="393">
        <v>4.4000000000000004</v>
      </c>
      <c r="P133" s="393">
        <v>0.83</v>
      </c>
      <c r="Q133" s="393">
        <v>0.17</v>
      </c>
      <c r="R133" s="393"/>
      <c r="S133" s="393">
        <v>4.8099999999999996</v>
      </c>
      <c r="T133" s="393">
        <v>0.84</v>
      </c>
      <c r="U133" s="393">
        <v>0.14000000000000001</v>
      </c>
      <c r="V133" s="393"/>
    </row>
    <row r="134" spans="1:22" s="59" customFormat="1">
      <c r="A134" s="59" t="str">
        <f t="shared" si="2"/>
        <v>IndoorDenseWettable powder, soluble powderUpward sprayingManual-Hand heldHands</v>
      </c>
      <c r="B134" s="124" t="s">
        <v>507</v>
      </c>
      <c r="C134" s="124" t="s">
        <v>501</v>
      </c>
      <c r="D134" s="124" t="s">
        <v>505</v>
      </c>
      <c r="E134" s="124" t="s">
        <v>499</v>
      </c>
      <c r="F134" s="124" t="s">
        <v>418</v>
      </c>
      <c r="G134" s="393">
        <v>3.27</v>
      </c>
      <c r="H134" s="393">
        <v>0.64</v>
      </c>
      <c r="I134" s="393">
        <v>1.28</v>
      </c>
      <c r="J134" s="393"/>
      <c r="K134" s="393">
        <v>3.74</v>
      </c>
      <c r="L134" s="393">
        <v>0.69</v>
      </c>
      <c r="M134" s="393">
        <v>1.21</v>
      </c>
      <c r="N134" s="393"/>
      <c r="O134" s="393">
        <v>4.4000000000000004</v>
      </c>
      <c r="P134" s="393">
        <v>0.83</v>
      </c>
      <c r="Q134" s="393">
        <v>0.17</v>
      </c>
      <c r="R134" s="393"/>
      <c r="S134" s="393">
        <v>4.8099999999999996</v>
      </c>
      <c r="T134" s="393">
        <v>0.84</v>
      </c>
      <c r="U134" s="393">
        <v>0.14000000000000001</v>
      </c>
      <c r="V134" s="393"/>
    </row>
    <row r="135" spans="1:22" s="59" customFormat="1">
      <c r="A135" s="59" t="str">
        <f t="shared" si="2"/>
        <v>IndoorDenseSoluble concentrates, emulsifiable concentrate, etc.Upward sprayingManual-Hand heldHead</v>
      </c>
      <c r="B135" s="124" t="s">
        <v>507</v>
      </c>
      <c r="C135" s="124" t="s">
        <v>497</v>
      </c>
      <c r="D135" s="124" t="s">
        <v>505</v>
      </c>
      <c r="E135" s="124" t="s">
        <v>499</v>
      </c>
      <c r="F135" s="124" t="s">
        <v>104</v>
      </c>
      <c r="G135" s="393">
        <v>1.46</v>
      </c>
      <c r="H135" s="393">
        <v>1</v>
      </c>
      <c r="I135" s="393">
        <f>0.34</f>
        <v>0.34</v>
      </c>
      <c r="J135" s="393"/>
      <c r="K135" s="393">
        <v>2.19</v>
      </c>
      <c r="L135" s="393">
        <v>1</v>
      </c>
      <c r="M135" s="393">
        <v>0.39</v>
      </c>
      <c r="N135" s="393"/>
      <c r="O135" s="393">
        <v>2.7</v>
      </c>
      <c r="P135" s="393">
        <v>0.18</v>
      </c>
      <c r="Q135" s="393">
        <v>0.28999999999999998</v>
      </c>
      <c r="R135" s="393"/>
      <c r="S135" s="393">
        <v>3.1</v>
      </c>
      <c r="T135" s="393">
        <v>0.33</v>
      </c>
      <c r="U135" s="393">
        <v>0.79</v>
      </c>
      <c r="V135" s="393"/>
    </row>
    <row r="136" spans="1:22" s="59" customFormat="1">
      <c r="A136" s="59" t="str">
        <f t="shared" si="2"/>
        <v>IndoorDenseWettable granules, soluble granulesUpward sprayingManual-Hand heldHead</v>
      </c>
      <c r="B136" s="124" t="s">
        <v>507</v>
      </c>
      <c r="C136" s="124" t="s">
        <v>500</v>
      </c>
      <c r="D136" s="124" t="s">
        <v>505</v>
      </c>
      <c r="E136" s="124" t="s">
        <v>499</v>
      </c>
      <c r="F136" s="124" t="s">
        <v>104</v>
      </c>
      <c r="G136" s="393">
        <v>1.46</v>
      </c>
      <c r="H136" s="393">
        <v>1</v>
      </c>
      <c r="I136" s="393">
        <v>0</v>
      </c>
      <c r="J136" s="393"/>
      <c r="K136" s="393">
        <v>2.19</v>
      </c>
      <c r="L136" s="393">
        <v>1</v>
      </c>
      <c r="M136" s="393">
        <v>0</v>
      </c>
      <c r="N136" s="393"/>
      <c r="O136" s="393">
        <v>2.7</v>
      </c>
      <c r="P136" s="393">
        <v>0.18</v>
      </c>
      <c r="Q136" s="393">
        <v>0.28999999999999998</v>
      </c>
      <c r="R136" s="393"/>
      <c r="S136" s="393">
        <v>3.1</v>
      </c>
      <c r="T136" s="393">
        <v>0.33</v>
      </c>
      <c r="U136" s="393">
        <v>0.79</v>
      </c>
      <c r="V136" s="393"/>
    </row>
    <row r="137" spans="1:22" s="59" customFormat="1">
      <c r="A137" s="59" t="str">
        <f t="shared" si="2"/>
        <v>IndoorDenseWettable powder, soluble powderUpward sprayingManual-Hand heldHead</v>
      </c>
      <c r="B137" s="124" t="s">
        <v>507</v>
      </c>
      <c r="C137" s="124" t="s">
        <v>501</v>
      </c>
      <c r="D137" s="124" t="s">
        <v>505</v>
      </c>
      <c r="E137" s="124" t="s">
        <v>499</v>
      </c>
      <c r="F137" s="124" t="s">
        <v>104</v>
      </c>
      <c r="G137" s="393">
        <v>1.46</v>
      </c>
      <c r="H137" s="393">
        <v>1</v>
      </c>
      <c r="I137" s="393">
        <v>0.7</v>
      </c>
      <c r="J137" s="393"/>
      <c r="K137" s="393">
        <v>2.19</v>
      </c>
      <c r="L137" s="393">
        <v>1</v>
      </c>
      <c r="M137" s="393">
        <v>0.11</v>
      </c>
      <c r="N137" s="393"/>
      <c r="O137" s="393">
        <v>2.7</v>
      </c>
      <c r="P137" s="393">
        <v>0.18</v>
      </c>
      <c r="Q137" s="393">
        <v>0.28999999999999998</v>
      </c>
      <c r="R137" s="393"/>
      <c r="S137" s="393">
        <v>3.1</v>
      </c>
      <c r="T137" s="393">
        <v>0.33</v>
      </c>
      <c r="U137" s="393">
        <v>0.79</v>
      </c>
      <c r="V137" s="393"/>
    </row>
    <row r="138" spans="1:22" s="59" customFormat="1">
      <c r="A138" s="59" t="str">
        <f t="shared" si="2"/>
        <v>IndoorDenseSoluble concentrates, emulsifiable concentrate, etc.Upward sprayingManual-Hand heldInhalation</v>
      </c>
      <c r="B138" s="124" t="s">
        <v>507</v>
      </c>
      <c r="C138" s="124" t="s">
        <v>497</v>
      </c>
      <c r="D138" s="124" t="s">
        <v>505</v>
      </c>
      <c r="E138" s="124" t="s">
        <v>499</v>
      </c>
      <c r="F138" s="124" t="s">
        <v>109</v>
      </c>
      <c r="G138" s="393">
        <v>1.38</v>
      </c>
      <c r="H138" s="393">
        <v>0.38</v>
      </c>
      <c r="I138" s="393">
        <v>-0.87</v>
      </c>
      <c r="J138" s="393"/>
      <c r="K138" s="393">
        <v>1.81</v>
      </c>
      <c r="L138" s="393">
        <v>0.49</v>
      </c>
      <c r="M138" s="393">
        <v>-0.92</v>
      </c>
      <c r="N138" s="393"/>
      <c r="O138" s="393">
        <v>2.69</v>
      </c>
      <c r="P138" s="393">
        <v>1</v>
      </c>
      <c r="Q138" s="393">
        <v>0.08</v>
      </c>
      <c r="R138" s="393"/>
      <c r="S138" s="393">
        <v>2.82</v>
      </c>
      <c r="T138" s="393">
        <v>1</v>
      </c>
      <c r="U138" s="393">
        <v>0.63</v>
      </c>
      <c r="V138" s="393"/>
    </row>
    <row r="139" spans="1:22" s="59" customFormat="1">
      <c r="A139" s="59" t="str">
        <f t="shared" si="2"/>
        <v>IndoorDenseWettable granules, soluble granulesUpward sprayingManual-Hand heldInhalation</v>
      </c>
      <c r="B139" s="124" t="s">
        <v>507</v>
      </c>
      <c r="C139" s="124" t="s">
        <v>500</v>
      </c>
      <c r="D139" s="124" t="s">
        <v>505</v>
      </c>
      <c r="E139" s="124" t="s">
        <v>499</v>
      </c>
      <c r="F139" s="124" t="s">
        <v>109</v>
      </c>
      <c r="G139" s="393">
        <v>1.38</v>
      </c>
      <c r="H139" s="393">
        <v>0.38</v>
      </c>
      <c r="I139" s="393"/>
      <c r="J139" s="393"/>
      <c r="K139" s="393">
        <v>1.81</v>
      </c>
      <c r="L139" s="393">
        <v>0.49</v>
      </c>
      <c r="M139" s="393"/>
      <c r="N139" s="393"/>
      <c r="O139" s="393">
        <v>2.69</v>
      </c>
      <c r="P139" s="393">
        <v>1</v>
      </c>
      <c r="Q139" s="393">
        <v>0.08</v>
      </c>
      <c r="R139" s="393"/>
      <c r="S139" s="393">
        <v>2.82</v>
      </c>
      <c r="T139" s="393">
        <v>1</v>
      </c>
      <c r="U139" s="393">
        <v>0.63</v>
      </c>
      <c r="V139" s="393"/>
    </row>
    <row r="140" spans="1:22" s="59" customFormat="1">
      <c r="A140" s="59" t="str">
        <f t="shared" si="2"/>
        <v>IndoorDenseWettable powder, soluble powderUpward sprayingManual-Hand heldInhalation</v>
      </c>
      <c r="B140" s="124" t="s">
        <v>507</v>
      </c>
      <c r="C140" s="124" t="s">
        <v>501</v>
      </c>
      <c r="D140" s="124" t="s">
        <v>505</v>
      </c>
      <c r="E140" s="124" t="s">
        <v>499</v>
      </c>
      <c r="F140" s="124" t="s">
        <v>109</v>
      </c>
      <c r="G140" s="393">
        <v>1.38</v>
      </c>
      <c r="H140" s="393">
        <v>0.38</v>
      </c>
      <c r="I140" s="393">
        <v>1.96</v>
      </c>
      <c r="J140" s="393"/>
      <c r="K140" s="393">
        <v>1.81</v>
      </c>
      <c r="L140" s="393">
        <v>0.49</v>
      </c>
      <c r="M140" s="393">
        <v>1.54</v>
      </c>
      <c r="N140" s="393"/>
      <c r="O140" s="393">
        <v>2.69</v>
      </c>
      <c r="P140" s="393">
        <v>1</v>
      </c>
      <c r="Q140" s="393">
        <v>0.08</v>
      </c>
      <c r="R140" s="393"/>
      <c r="S140" s="393">
        <v>2.82</v>
      </c>
      <c r="T140" s="393">
        <v>1</v>
      </c>
      <c r="U140" s="393">
        <v>0.63</v>
      </c>
      <c r="V140" s="393"/>
    </row>
    <row r="141" spans="1:22" s="59" customFormat="1">
      <c r="A141" s="59" t="str">
        <f t="shared" si="2"/>
        <v>IndoorDenseSoluble concentrates, emulsifiable concentrate, etc.Upward sprayingManual-Hand heldProtected Body</v>
      </c>
      <c r="B141" s="124" t="s">
        <v>507</v>
      </c>
      <c r="C141" s="131" t="s">
        <v>497</v>
      </c>
      <c r="D141" s="131" t="s">
        <v>505</v>
      </c>
      <c r="E141" s="131" t="s">
        <v>499</v>
      </c>
      <c r="F141" s="131" t="s">
        <v>502</v>
      </c>
      <c r="G141" s="393">
        <v>1.58</v>
      </c>
      <c r="H141" s="393">
        <v>0.62</v>
      </c>
      <c r="I141" s="393">
        <v>0.12</v>
      </c>
      <c r="J141" s="393"/>
      <c r="K141" s="393">
        <v>2.09</v>
      </c>
      <c r="L141" s="393">
        <v>0.78</v>
      </c>
      <c r="M141" s="393">
        <v>0.44</v>
      </c>
      <c r="N141" s="393"/>
      <c r="O141" s="393">
        <v>4.1900000000000004</v>
      </c>
      <c r="P141" s="393">
        <v>1</v>
      </c>
      <c r="Q141" s="393">
        <f>1.64+IF(I_PPE_appl="Certified protective coverall",-0.54,IF(I_PPE_appl="Rain suit &amp; trousers",-2.42,0))</f>
        <v>1.64</v>
      </c>
      <c r="R141" s="393"/>
      <c r="S141" s="393">
        <v>5.07</v>
      </c>
      <c r="T141" s="393">
        <v>1</v>
      </c>
      <c r="U141" s="393">
        <f>1.07+IF(I_PPE_appl="Certified protective coverall",-0.64,IF(I_PPE_appl="Rain suit &amp; trousers",-2.2,0))</f>
        <v>1.07</v>
      </c>
      <c r="V141" s="393"/>
    </row>
    <row r="142" spans="1:22">
      <c r="A142" s="59" t="str">
        <f t="shared" si="2"/>
        <v>IndoorDenseWettable granules, soluble granulesUpward sprayingManual-Hand heldProtected Body</v>
      </c>
      <c r="B142" s="124" t="s">
        <v>507</v>
      </c>
      <c r="C142" s="131" t="s">
        <v>500</v>
      </c>
      <c r="D142" s="131" t="s">
        <v>505</v>
      </c>
      <c r="E142" s="131" t="s">
        <v>499</v>
      </c>
      <c r="F142" s="131" t="s">
        <v>502</v>
      </c>
      <c r="G142" s="393">
        <v>1.58</v>
      </c>
      <c r="H142" s="393">
        <v>0.62</v>
      </c>
      <c r="I142" s="393"/>
      <c r="J142" s="393"/>
      <c r="K142" s="393">
        <v>2.09</v>
      </c>
      <c r="L142" s="393">
        <v>0.78</v>
      </c>
      <c r="M142" s="393"/>
      <c r="N142" s="393"/>
      <c r="O142" s="393">
        <v>4.1900000000000004</v>
      </c>
      <c r="P142" s="393">
        <v>1</v>
      </c>
      <c r="Q142" s="393">
        <f>1.64+IF(I_PPE_appl="Certified protective coverall",-0.54,IF(I_PPE_appl="Rain suit &amp; trousers",-2.42,0))</f>
        <v>1.64</v>
      </c>
      <c r="R142" s="393"/>
      <c r="S142" s="393">
        <v>5.07</v>
      </c>
      <c r="T142" s="393">
        <v>1</v>
      </c>
      <c r="U142" s="393">
        <f>1.07+IF(I_PPE_appl="Certified protective coverall",-0.64,IF(I_PPE_appl="Rain suit &amp; trousers",-2.2,0))</f>
        <v>1.07</v>
      </c>
      <c r="V142" s="393"/>
    </row>
    <row r="143" spans="1:22">
      <c r="A143" s="59" t="str">
        <f t="shared" si="2"/>
        <v>IndoorDenseWettable powder, soluble powderUpward sprayingManual-Hand heldProtected Body</v>
      </c>
      <c r="B143" s="124" t="s">
        <v>507</v>
      </c>
      <c r="C143" s="131" t="s">
        <v>501</v>
      </c>
      <c r="D143" s="131" t="s">
        <v>505</v>
      </c>
      <c r="E143" s="131" t="s">
        <v>499</v>
      </c>
      <c r="F143" s="131" t="s">
        <v>502</v>
      </c>
      <c r="G143" s="393">
        <v>1.58</v>
      </c>
      <c r="H143" s="393">
        <v>0.62</v>
      </c>
      <c r="I143" s="393">
        <v>1.84</v>
      </c>
      <c r="J143" s="393"/>
      <c r="K143" s="393">
        <v>2.09</v>
      </c>
      <c r="L143" s="393">
        <v>0.78</v>
      </c>
      <c r="M143" s="393">
        <v>1.58</v>
      </c>
      <c r="N143" s="393"/>
      <c r="O143" s="393">
        <v>4.1900000000000004</v>
      </c>
      <c r="P143" s="393">
        <v>1</v>
      </c>
      <c r="Q143" s="393">
        <f>1.64+IF(I_PPE_appl="Certified protective coverall",-0.54,IF(I_PPE_appl="Rain suit &amp; trousers",-2.42,0))</f>
        <v>1.64</v>
      </c>
      <c r="R143" s="393"/>
      <c r="S143" s="393">
        <v>5.07</v>
      </c>
      <c r="T143" s="393">
        <v>1</v>
      </c>
      <c r="U143" s="393">
        <f>1.07+IF(I_PPE_appl="Certified protective coverall",-0.64,IF(I_PPE_appl="Rain suit &amp; trousers",-2.2,0))</f>
        <v>1.07</v>
      </c>
      <c r="V143" s="393"/>
    </row>
    <row r="144" spans="1:22">
      <c r="A144" s="59" t="str">
        <f t="shared" si="2"/>
        <v>IndoorDenseSoluble concentrates, emulsifiable concentrate, etc.Upward sprayingManual-Hand heldProtected Hands</v>
      </c>
      <c r="B144" s="124" t="s">
        <v>507</v>
      </c>
      <c r="C144" s="124" t="s">
        <v>497</v>
      </c>
      <c r="D144" s="124" t="s">
        <v>505</v>
      </c>
      <c r="E144" s="124" t="s">
        <v>499</v>
      </c>
      <c r="F144" s="124" t="s">
        <v>503</v>
      </c>
      <c r="G144" s="393">
        <v>1.46</v>
      </c>
      <c r="H144" s="393">
        <v>0.46</v>
      </c>
      <c r="I144" s="393">
        <v>0.32</v>
      </c>
      <c r="J144" s="393"/>
      <c r="K144" s="393">
        <v>2.29</v>
      </c>
      <c r="L144" s="393">
        <v>0.53</v>
      </c>
      <c r="M144" s="393">
        <v>0.83</v>
      </c>
      <c r="N144" s="393"/>
      <c r="O144" s="393">
        <v>1.71</v>
      </c>
      <c r="P144" s="393">
        <v>1</v>
      </c>
      <c r="Q144" s="393">
        <v>1.32</v>
      </c>
      <c r="R144" s="393"/>
      <c r="S144" s="393">
        <v>2.36</v>
      </c>
      <c r="T144" s="393">
        <v>0.67</v>
      </c>
      <c r="U144" s="393">
        <v>0.76</v>
      </c>
      <c r="V144" s="393"/>
    </row>
    <row r="145" spans="1:22">
      <c r="A145" s="59" t="str">
        <f t="shared" si="2"/>
        <v>IndoorDenseWettable granules, soluble granulesUpward sprayingManual-Hand heldProtected Hands</v>
      </c>
      <c r="B145" s="124" t="s">
        <v>507</v>
      </c>
      <c r="C145" s="131" t="s">
        <v>500</v>
      </c>
      <c r="D145" s="131" t="s">
        <v>505</v>
      </c>
      <c r="E145" s="131" t="s">
        <v>499</v>
      </c>
      <c r="F145" s="131" t="s">
        <v>503</v>
      </c>
      <c r="G145" s="393">
        <v>1.46</v>
      </c>
      <c r="H145" s="393">
        <v>0.46</v>
      </c>
      <c r="I145" s="393"/>
      <c r="J145" s="393"/>
      <c r="K145" s="393">
        <v>2.29</v>
      </c>
      <c r="L145" s="393">
        <v>0.53</v>
      </c>
      <c r="M145" s="393"/>
      <c r="N145" s="393"/>
      <c r="O145" s="393">
        <v>1.71</v>
      </c>
      <c r="P145" s="393">
        <v>1</v>
      </c>
      <c r="Q145" s="393">
        <v>1.32</v>
      </c>
      <c r="R145" s="393"/>
      <c r="S145" s="393">
        <v>2.36</v>
      </c>
      <c r="T145" s="393">
        <v>0.67</v>
      </c>
      <c r="U145" s="393">
        <v>0.76</v>
      </c>
      <c r="V145" s="393"/>
    </row>
    <row r="146" spans="1:22">
      <c r="A146" s="59" t="str">
        <f t="shared" si="2"/>
        <v>IndoorDenseWettable powder, soluble powderUpward sprayingManual-Hand heldProtected Hands</v>
      </c>
      <c r="B146" s="124" t="s">
        <v>507</v>
      </c>
      <c r="C146" s="131" t="s">
        <v>501</v>
      </c>
      <c r="D146" s="131" t="s">
        <v>505</v>
      </c>
      <c r="E146" s="131" t="s">
        <v>499</v>
      </c>
      <c r="F146" s="131" t="s">
        <v>503</v>
      </c>
      <c r="G146" s="393">
        <v>1.46</v>
      </c>
      <c r="H146" s="393">
        <v>0.46</v>
      </c>
      <c r="I146" s="393">
        <v>1.66</v>
      </c>
      <c r="J146" s="393"/>
      <c r="K146" s="393">
        <v>2.29</v>
      </c>
      <c r="L146" s="393">
        <v>0.53</v>
      </c>
      <c r="M146" s="393">
        <v>1.39</v>
      </c>
      <c r="N146" s="393"/>
      <c r="O146" s="393">
        <v>1.71</v>
      </c>
      <c r="P146" s="393">
        <v>1</v>
      </c>
      <c r="Q146" s="393">
        <v>1.32</v>
      </c>
      <c r="R146" s="393"/>
      <c r="S146" s="393">
        <v>2.36</v>
      </c>
      <c r="T146" s="393">
        <v>0.67</v>
      </c>
      <c r="U146" s="393">
        <v>0.76</v>
      </c>
      <c r="V146" s="393"/>
    </row>
    <row r="147" spans="1:22">
      <c r="A147" s="59" t="str">
        <f t="shared" si="2"/>
        <v>IndoorDenseSoluble concentrates, emulsifiable concentrate, etc.Upward sprayingManual-KnapsackBody</v>
      </c>
      <c r="B147" s="124" t="s">
        <v>507</v>
      </c>
      <c r="C147" s="124" t="s">
        <v>497</v>
      </c>
      <c r="D147" s="124" t="s">
        <v>505</v>
      </c>
      <c r="E147" s="124" t="s">
        <v>504</v>
      </c>
      <c r="F147" s="124" t="s">
        <v>420</v>
      </c>
      <c r="G147" s="393"/>
      <c r="H147" s="393"/>
      <c r="I147" s="393"/>
      <c r="J147" s="393">
        <v>803</v>
      </c>
      <c r="K147" s="393"/>
      <c r="L147" s="393"/>
      <c r="M147" s="393"/>
      <c r="N147" s="393">
        <v>2787</v>
      </c>
      <c r="O147" s="393">
        <v>5.59</v>
      </c>
      <c r="P147" s="393">
        <v>1</v>
      </c>
      <c r="Q147" s="393">
        <v>0.67</v>
      </c>
      <c r="R147" s="393"/>
      <c r="S147" s="393">
        <v>6.1</v>
      </c>
      <c r="T147" s="393">
        <v>1</v>
      </c>
      <c r="U147" s="393">
        <v>0.48</v>
      </c>
      <c r="V147" s="393"/>
    </row>
    <row r="148" spans="1:22">
      <c r="A148" s="59" t="str">
        <f t="shared" si="2"/>
        <v>IndoorDenseWettable granules, soluble granulesUpward sprayingManual-KnapsackBody</v>
      </c>
      <c r="B148" s="124" t="s">
        <v>507</v>
      </c>
      <c r="C148" s="124" t="s">
        <v>500</v>
      </c>
      <c r="D148" s="124" t="s">
        <v>505</v>
      </c>
      <c r="E148" s="124" t="s">
        <v>504</v>
      </c>
      <c r="F148" s="124" t="s">
        <v>420</v>
      </c>
      <c r="G148" s="393"/>
      <c r="H148" s="393"/>
      <c r="I148" s="393"/>
      <c r="J148" s="393">
        <v>803</v>
      </c>
      <c r="K148" s="393"/>
      <c r="L148" s="393"/>
      <c r="M148" s="393"/>
      <c r="N148" s="393">
        <v>2787</v>
      </c>
      <c r="O148" s="393">
        <v>5.59</v>
      </c>
      <c r="P148" s="393">
        <v>1</v>
      </c>
      <c r="Q148" s="393">
        <v>0.67</v>
      </c>
      <c r="R148" s="393"/>
      <c r="S148" s="393">
        <v>6.1</v>
      </c>
      <c r="T148" s="393">
        <v>1</v>
      </c>
      <c r="U148" s="393">
        <v>0.48</v>
      </c>
      <c r="V148" s="393"/>
    </row>
    <row r="149" spans="1:22">
      <c r="A149" s="59" t="str">
        <f t="shared" si="2"/>
        <v>IndoorDenseWettable powder, soluble powderUpward sprayingManual-KnapsackBody</v>
      </c>
      <c r="B149" s="124" t="s">
        <v>507</v>
      </c>
      <c r="C149" s="124" t="s">
        <v>501</v>
      </c>
      <c r="D149" s="124" t="s">
        <v>505</v>
      </c>
      <c r="E149" s="124" t="s">
        <v>504</v>
      </c>
      <c r="F149" s="124" t="s">
        <v>420</v>
      </c>
      <c r="G149" s="393"/>
      <c r="H149" s="393"/>
      <c r="I149" s="393"/>
      <c r="J149" s="393">
        <v>803</v>
      </c>
      <c r="K149" s="393"/>
      <c r="L149" s="393"/>
      <c r="M149" s="393"/>
      <c r="N149" s="393">
        <v>2787</v>
      </c>
      <c r="O149" s="393">
        <v>5.59</v>
      </c>
      <c r="P149" s="393">
        <v>1</v>
      </c>
      <c r="Q149" s="393">
        <v>0.67</v>
      </c>
      <c r="R149" s="393"/>
      <c r="S149" s="393">
        <v>6.1</v>
      </c>
      <c r="T149" s="393">
        <v>1</v>
      </c>
      <c r="U149" s="393">
        <v>0.48</v>
      </c>
      <c r="V149" s="393"/>
    </row>
    <row r="150" spans="1:22">
      <c r="A150" s="59" t="str">
        <f t="shared" si="2"/>
        <v>IndoorDenseSoluble concentrates, emulsifiable concentrate, etc.Upward sprayingManual-KnapsackHands</v>
      </c>
      <c r="B150" s="124" t="s">
        <v>507</v>
      </c>
      <c r="C150" s="124" t="s">
        <v>497</v>
      </c>
      <c r="D150" s="124" t="s">
        <v>505</v>
      </c>
      <c r="E150" s="124" t="s">
        <v>504</v>
      </c>
      <c r="F150" s="124" t="s">
        <v>418</v>
      </c>
      <c r="G150" s="393"/>
      <c r="H150" s="393"/>
      <c r="I150" s="393"/>
      <c r="J150" s="393">
        <v>9497</v>
      </c>
      <c r="K150" s="393"/>
      <c r="L150" s="393"/>
      <c r="M150" s="393"/>
      <c r="N150" s="393">
        <v>25490</v>
      </c>
      <c r="O150" s="393">
        <v>4.4000000000000004</v>
      </c>
      <c r="P150" s="393">
        <v>0.83</v>
      </c>
      <c r="Q150" s="393">
        <v>0.17</v>
      </c>
      <c r="R150" s="393"/>
      <c r="S150" s="393">
        <v>4.8099999999999996</v>
      </c>
      <c r="T150" s="393">
        <v>0.84</v>
      </c>
      <c r="U150" s="393">
        <v>0.14000000000000001</v>
      </c>
      <c r="V150" s="393"/>
    </row>
    <row r="151" spans="1:22">
      <c r="A151" s="59" t="str">
        <f t="shared" si="2"/>
        <v>IndoorDenseWettable granules, soluble granulesUpward sprayingManual-KnapsackHands</v>
      </c>
      <c r="B151" s="124" t="s">
        <v>507</v>
      </c>
      <c r="C151" s="124" t="s">
        <v>500</v>
      </c>
      <c r="D151" s="124" t="s">
        <v>505</v>
      </c>
      <c r="E151" s="124" t="s">
        <v>504</v>
      </c>
      <c r="F151" s="124" t="s">
        <v>418</v>
      </c>
      <c r="G151" s="393"/>
      <c r="H151" s="393"/>
      <c r="I151" s="393"/>
      <c r="J151" s="393">
        <v>9497</v>
      </c>
      <c r="K151" s="393"/>
      <c r="L151" s="393"/>
      <c r="M151" s="393"/>
      <c r="N151" s="393">
        <v>25490</v>
      </c>
      <c r="O151" s="393">
        <v>4.4000000000000004</v>
      </c>
      <c r="P151" s="393">
        <v>0.83</v>
      </c>
      <c r="Q151" s="393">
        <v>0.17</v>
      </c>
      <c r="R151" s="393"/>
      <c r="S151" s="393">
        <v>4.8099999999999996</v>
      </c>
      <c r="T151" s="393">
        <v>0.84</v>
      </c>
      <c r="U151" s="393">
        <v>0.14000000000000001</v>
      </c>
      <c r="V151" s="393"/>
    </row>
    <row r="152" spans="1:22">
      <c r="A152" s="59" t="str">
        <f t="shared" si="2"/>
        <v>IndoorDenseWettable powder, soluble powderUpward sprayingManual-KnapsackHands</v>
      </c>
      <c r="B152" s="124" t="s">
        <v>507</v>
      </c>
      <c r="C152" s="124" t="s">
        <v>501</v>
      </c>
      <c r="D152" s="124" t="s">
        <v>505</v>
      </c>
      <c r="E152" s="124" t="s">
        <v>504</v>
      </c>
      <c r="F152" s="124" t="s">
        <v>418</v>
      </c>
      <c r="G152" s="393"/>
      <c r="H152" s="393"/>
      <c r="I152" s="393"/>
      <c r="J152" s="393">
        <v>9497</v>
      </c>
      <c r="K152" s="393"/>
      <c r="L152" s="393"/>
      <c r="M152" s="393"/>
      <c r="N152" s="393">
        <v>25490</v>
      </c>
      <c r="O152" s="393">
        <v>4.4000000000000004</v>
      </c>
      <c r="P152" s="393">
        <v>0.83</v>
      </c>
      <c r="Q152" s="393">
        <v>0.17</v>
      </c>
      <c r="R152" s="393"/>
      <c r="S152" s="393">
        <v>4.8099999999999996</v>
      </c>
      <c r="T152" s="393">
        <v>0.84</v>
      </c>
      <c r="U152" s="393">
        <v>0.14000000000000001</v>
      </c>
      <c r="V152" s="393"/>
    </row>
    <row r="153" spans="1:22">
      <c r="A153" s="59" t="str">
        <f t="shared" si="2"/>
        <v>IndoorDenseSoluble concentrates, emulsifiable concentrate, etc.Upward sprayingManual-KnapsackHead</v>
      </c>
      <c r="B153" s="124" t="s">
        <v>507</v>
      </c>
      <c r="C153" s="124" t="s">
        <v>497</v>
      </c>
      <c r="D153" s="124" t="s">
        <v>505</v>
      </c>
      <c r="E153" s="124" t="s">
        <v>504</v>
      </c>
      <c r="F153" s="124" t="s">
        <v>104</v>
      </c>
      <c r="G153" s="393"/>
      <c r="H153" s="393"/>
      <c r="I153" s="393"/>
      <c r="J153" s="393">
        <v>5.5</v>
      </c>
      <c r="K153" s="393"/>
      <c r="L153" s="393"/>
      <c r="M153" s="393"/>
      <c r="N153" s="393">
        <v>11</v>
      </c>
      <c r="O153" s="393">
        <v>2.7</v>
      </c>
      <c r="P153" s="393">
        <v>0.18</v>
      </c>
      <c r="Q153" s="393">
        <v>0.28999999999999998</v>
      </c>
      <c r="R153" s="393"/>
      <c r="S153" s="393">
        <v>3.1</v>
      </c>
      <c r="T153" s="393">
        <v>0.33</v>
      </c>
      <c r="U153" s="393">
        <v>0.79</v>
      </c>
      <c r="V153" s="393"/>
    </row>
    <row r="154" spans="1:22">
      <c r="A154" s="59" t="str">
        <f t="shared" si="2"/>
        <v>IndoorDenseWettable granules, soluble granulesUpward sprayingManual-KnapsackHead</v>
      </c>
      <c r="B154" s="124" t="s">
        <v>507</v>
      </c>
      <c r="C154" s="124" t="s">
        <v>500</v>
      </c>
      <c r="D154" s="124" t="s">
        <v>505</v>
      </c>
      <c r="E154" s="124" t="s">
        <v>504</v>
      </c>
      <c r="F154" s="124" t="s">
        <v>104</v>
      </c>
      <c r="G154" s="393"/>
      <c r="H154" s="393"/>
      <c r="I154" s="393"/>
      <c r="J154" s="393">
        <v>5.5</v>
      </c>
      <c r="K154" s="393"/>
      <c r="L154" s="393"/>
      <c r="M154" s="393"/>
      <c r="N154" s="393">
        <v>11</v>
      </c>
      <c r="O154" s="393">
        <v>2.7</v>
      </c>
      <c r="P154" s="393">
        <v>0.18</v>
      </c>
      <c r="Q154" s="393">
        <v>0.28999999999999998</v>
      </c>
      <c r="R154" s="393"/>
      <c r="S154" s="393">
        <v>3.1</v>
      </c>
      <c r="T154" s="393">
        <v>0.33</v>
      </c>
      <c r="U154" s="393">
        <v>0.79</v>
      </c>
      <c r="V154" s="393"/>
    </row>
    <row r="155" spans="1:22">
      <c r="A155" s="59" t="str">
        <f t="shared" si="2"/>
        <v>IndoorDenseWettable powder, soluble powderUpward sprayingManual-KnapsackHead</v>
      </c>
      <c r="B155" s="124" t="s">
        <v>507</v>
      </c>
      <c r="C155" s="124" t="s">
        <v>501</v>
      </c>
      <c r="D155" s="124" t="s">
        <v>505</v>
      </c>
      <c r="E155" s="124" t="s">
        <v>504</v>
      </c>
      <c r="F155" s="124" t="s">
        <v>104</v>
      </c>
      <c r="G155" s="393"/>
      <c r="H155" s="393"/>
      <c r="I155" s="393"/>
      <c r="J155" s="393">
        <v>5.5</v>
      </c>
      <c r="K155" s="393"/>
      <c r="L155" s="393"/>
      <c r="M155" s="393"/>
      <c r="N155" s="393">
        <v>11</v>
      </c>
      <c r="O155" s="393">
        <v>2.7</v>
      </c>
      <c r="P155" s="393">
        <v>0.18</v>
      </c>
      <c r="Q155" s="393">
        <v>0.28999999999999998</v>
      </c>
      <c r="R155" s="393"/>
      <c r="S155" s="393">
        <v>3.1</v>
      </c>
      <c r="T155" s="393">
        <v>0.33</v>
      </c>
      <c r="U155" s="393">
        <v>0.79</v>
      </c>
      <c r="V155" s="393"/>
    </row>
    <row r="156" spans="1:22">
      <c r="A156" s="59" t="str">
        <f t="shared" si="2"/>
        <v>IndoorDenseSoluble concentrates, emulsifiable concentrate, etc.Upward sprayingManual-KnapsackInhalation</v>
      </c>
      <c r="B156" s="124" t="s">
        <v>507</v>
      </c>
      <c r="C156" s="124" t="s">
        <v>497</v>
      </c>
      <c r="D156" s="124" t="s">
        <v>505</v>
      </c>
      <c r="E156" s="124" t="s">
        <v>504</v>
      </c>
      <c r="F156" s="124" t="s">
        <v>109</v>
      </c>
      <c r="G156" s="393"/>
      <c r="H156" s="393"/>
      <c r="I156" s="393"/>
      <c r="J156" s="393">
        <v>35</v>
      </c>
      <c r="K156" s="393"/>
      <c r="L156" s="393"/>
      <c r="M156" s="393"/>
      <c r="N156" s="393">
        <v>36</v>
      </c>
      <c r="O156" s="393">
        <v>2.69</v>
      </c>
      <c r="P156" s="393">
        <v>1</v>
      </c>
      <c r="Q156" s="393">
        <v>0.08</v>
      </c>
      <c r="R156" s="393"/>
      <c r="S156" s="393">
        <v>2.82</v>
      </c>
      <c r="T156" s="393">
        <v>1</v>
      </c>
      <c r="U156" s="393">
        <v>0.63</v>
      </c>
      <c r="V156" s="393"/>
    </row>
    <row r="157" spans="1:22">
      <c r="A157" s="59" t="str">
        <f t="shared" si="2"/>
        <v>IndoorDenseWettable granules, soluble granulesUpward sprayingManual-KnapsackInhalation</v>
      </c>
      <c r="B157" s="124" t="s">
        <v>507</v>
      </c>
      <c r="C157" s="124" t="s">
        <v>500</v>
      </c>
      <c r="D157" s="124" t="s">
        <v>505</v>
      </c>
      <c r="E157" s="124" t="s">
        <v>504</v>
      </c>
      <c r="F157" s="124" t="s">
        <v>109</v>
      </c>
      <c r="G157" s="393"/>
      <c r="H157" s="393"/>
      <c r="I157" s="393"/>
      <c r="J157" s="393">
        <v>35</v>
      </c>
      <c r="K157" s="393"/>
      <c r="L157" s="393"/>
      <c r="M157" s="393"/>
      <c r="N157" s="393">
        <v>36</v>
      </c>
      <c r="O157" s="393">
        <v>2.69</v>
      </c>
      <c r="P157" s="393">
        <v>1</v>
      </c>
      <c r="Q157" s="393">
        <v>0.08</v>
      </c>
      <c r="R157" s="393"/>
      <c r="S157" s="393">
        <v>2.82</v>
      </c>
      <c r="T157" s="393">
        <v>1</v>
      </c>
      <c r="U157" s="393">
        <v>0.63</v>
      </c>
      <c r="V157" s="393"/>
    </row>
    <row r="158" spans="1:22">
      <c r="A158" s="59" t="str">
        <f t="shared" si="2"/>
        <v>IndoorDenseWettable powder, soluble powderUpward sprayingManual-KnapsackInhalation</v>
      </c>
      <c r="B158" s="124" t="s">
        <v>507</v>
      </c>
      <c r="C158" s="124" t="s">
        <v>501</v>
      </c>
      <c r="D158" s="124" t="s">
        <v>505</v>
      </c>
      <c r="E158" s="124" t="s">
        <v>504</v>
      </c>
      <c r="F158" s="124" t="s">
        <v>109</v>
      </c>
      <c r="G158" s="393"/>
      <c r="H158" s="393"/>
      <c r="I158" s="393"/>
      <c r="J158" s="393">
        <v>35</v>
      </c>
      <c r="K158" s="393"/>
      <c r="L158" s="393"/>
      <c r="M158" s="393"/>
      <c r="N158" s="393">
        <v>36</v>
      </c>
      <c r="O158" s="393">
        <v>2.69</v>
      </c>
      <c r="P158" s="393">
        <v>1</v>
      </c>
      <c r="Q158" s="393">
        <v>0.08</v>
      </c>
      <c r="R158" s="393"/>
      <c r="S158" s="393">
        <v>2.82</v>
      </c>
      <c r="T158" s="393">
        <v>1</v>
      </c>
      <c r="U158" s="393">
        <v>0.63</v>
      </c>
      <c r="V158" s="393"/>
    </row>
    <row r="159" spans="1:22">
      <c r="A159" s="59" t="str">
        <f t="shared" si="2"/>
        <v>IndoorDenseSoluble concentrates, emulsifiable concentrate, etc.Upward sprayingManual-KnapsackProtected Body</v>
      </c>
      <c r="B159" s="124" t="s">
        <v>507</v>
      </c>
      <c r="C159" s="131" t="s">
        <v>497</v>
      </c>
      <c r="D159" s="131" t="s">
        <v>505</v>
      </c>
      <c r="E159" s="131" t="s">
        <v>504</v>
      </c>
      <c r="F159" s="131" t="s">
        <v>502</v>
      </c>
      <c r="G159" s="393"/>
      <c r="H159" s="393"/>
      <c r="I159" s="393"/>
      <c r="J159" s="393">
        <v>25</v>
      </c>
      <c r="K159" s="393"/>
      <c r="L159" s="393"/>
      <c r="M159" s="393"/>
      <c r="N159" s="393">
        <v>103</v>
      </c>
      <c r="O159" s="393">
        <v>4.1900000000000004</v>
      </c>
      <c r="P159" s="393">
        <v>1</v>
      </c>
      <c r="Q159" s="393">
        <f>1.64+IF(I_PPE_appl="Certified protective coverall",-0.54,IF(I_PPE_appl="Rain suit &amp; trousers",-2.42,0))</f>
        <v>1.64</v>
      </c>
      <c r="R159" s="393"/>
      <c r="S159" s="393">
        <v>5.07</v>
      </c>
      <c r="T159" s="393">
        <v>1</v>
      </c>
      <c r="U159" s="393">
        <f>1.07+IF(I_PPE_appl="Certified protective coverall",-0.64,IF(I_PPE_appl="Rain suit &amp; trousers",-2.2,0))</f>
        <v>1.07</v>
      </c>
      <c r="V159" s="393"/>
    </row>
    <row r="160" spans="1:22">
      <c r="A160" s="59" t="str">
        <f t="shared" si="2"/>
        <v>IndoorDenseWettable granules, soluble granulesUpward sprayingManual-KnapsackProtected Body</v>
      </c>
      <c r="B160" s="124" t="s">
        <v>507</v>
      </c>
      <c r="C160" s="131" t="s">
        <v>500</v>
      </c>
      <c r="D160" s="131" t="s">
        <v>505</v>
      </c>
      <c r="E160" s="131" t="s">
        <v>504</v>
      </c>
      <c r="F160" s="131" t="s">
        <v>502</v>
      </c>
      <c r="G160" s="393"/>
      <c r="H160" s="393"/>
      <c r="I160" s="393"/>
      <c r="J160" s="393">
        <v>25</v>
      </c>
      <c r="K160" s="393"/>
      <c r="L160" s="393"/>
      <c r="M160" s="393"/>
      <c r="N160" s="393">
        <v>103</v>
      </c>
      <c r="O160" s="393">
        <v>4.1900000000000004</v>
      </c>
      <c r="P160" s="393">
        <v>1</v>
      </c>
      <c r="Q160" s="393">
        <f>1.64+IF(I_PPE_appl="Certified protective coverall",-0.54,IF(I_PPE_appl="Rain suit &amp; trousers",-2.42,0))</f>
        <v>1.64</v>
      </c>
      <c r="R160" s="393"/>
      <c r="S160" s="393">
        <v>5.07</v>
      </c>
      <c r="T160" s="393">
        <v>1</v>
      </c>
      <c r="U160" s="393">
        <f>1.07+IF(I_PPE_appl="Certified protective coverall",-0.64,IF(I_PPE_appl="Rain suit &amp; trousers",-2.2,0))</f>
        <v>1.07</v>
      </c>
      <c r="V160" s="393"/>
    </row>
    <row r="161" spans="1:22">
      <c r="A161" s="59" t="str">
        <f t="shared" si="2"/>
        <v>IndoorDenseWettable powder, soluble powderUpward sprayingManual-KnapsackProtected Body</v>
      </c>
      <c r="B161" s="124" t="s">
        <v>507</v>
      </c>
      <c r="C161" s="131" t="s">
        <v>501</v>
      </c>
      <c r="D161" s="131" t="s">
        <v>505</v>
      </c>
      <c r="E161" s="131" t="s">
        <v>504</v>
      </c>
      <c r="F161" s="131" t="s">
        <v>502</v>
      </c>
      <c r="G161" s="393"/>
      <c r="H161" s="393"/>
      <c r="I161" s="393"/>
      <c r="J161" s="393">
        <v>25</v>
      </c>
      <c r="K161" s="393"/>
      <c r="L161" s="393"/>
      <c r="M161" s="393"/>
      <c r="N161" s="393">
        <v>103</v>
      </c>
      <c r="O161" s="393">
        <v>4.1900000000000004</v>
      </c>
      <c r="P161" s="393">
        <v>1</v>
      </c>
      <c r="Q161" s="393">
        <f>1.64+IF(I_PPE_appl="Certified protective coverall",-0.54,IF(I_PPE_appl="Rain suit &amp; trousers",-2.42,0))</f>
        <v>1.64</v>
      </c>
      <c r="R161" s="393"/>
      <c r="S161" s="393">
        <v>5.07</v>
      </c>
      <c r="T161" s="393">
        <v>1</v>
      </c>
      <c r="U161" s="393">
        <f>1.07+IF(I_PPE_appl="Certified protective coverall",-0.64,IF(I_PPE_appl="Rain suit &amp; trousers",-2.2,0))</f>
        <v>1.07</v>
      </c>
      <c r="V161" s="393"/>
    </row>
    <row r="162" spans="1:22">
      <c r="A162" s="59" t="str">
        <f t="shared" si="2"/>
        <v>IndoorDenseWettable granules, soluble granulesUpward sprayingManual-KnapsackProtected Hands</v>
      </c>
      <c r="B162" s="124" t="s">
        <v>507</v>
      </c>
      <c r="C162" s="131" t="s">
        <v>500</v>
      </c>
      <c r="D162" s="131" t="s">
        <v>505</v>
      </c>
      <c r="E162" s="131" t="s">
        <v>504</v>
      </c>
      <c r="F162" s="131" t="s">
        <v>503</v>
      </c>
      <c r="G162" s="393"/>
      <c r="H162" s="393"/>
      <c r="I162" s="393"/>
      <c r="J162" s="393">
        <v>21</v>
      </c>
      <c r="K162" s="393"/>
      <c r="L162" s="393"/>
      <c r="M162" s="393"/>
      <c r="N162" s="393">
        <v>164</v>
      </c>
      <c r="O162" s="393">
        <v>1.71</v>
      </c>
      <c r="P162" s="393">
        <v>1</v>
      </c>
      <c r="Q162" s="393">
        <v>1.32</v>
      </c>
      <c r="R162" s="393"/>
      <c r="S162" s="393">
        <v>2.36</v>
      </c>
      <c r="T162" s="393">
        <v>0.67</v>
      </c>
      <c r="U162" s="393">
        <v>0.76</v>
      </c>
      <c r="V162" s="393"/>
    </row>
    <row r="163" spans="1:22">
      <c r="A163" s="59" t="str">
        <f t="shared" si="2"/>
        <v>IndoorDenseWettable powder, soluble powderUpward sprayingManual-KnapsackProtected Hands</v>
      </c>
      <c r="B163" s="124" t="s">
        <v>507</v>
      </c>
      <c r="C163" s="131" t="s">
        <v>501</v>
      </c>
      <c r="D163" s="131" t="s">
        <v>505</v>
      </c>
      <c r="E163" s="131" t="s">
        <v>504</v>
      </c>
      <c r="F163" s="131" t="s">
        <v>503</v>
      </c>
      <c r="G163" s="393"/>
      <c r="H163" s="393"/>
      <c r="I163" s="393"/>
      <c r="J163" s="393">
        <v>21</v>
      </c>
      <c r="K163" s="393"/>
      <c r="L163" s="393"/>
      <c r="M163" s="393"/>
      <c r="N163" s="393">
        <v>164</v>
      </c>
      <c r="O163" s="393">
        <v>1.71</v>
      </c>
      <c r="P163" s="393">
        <v>1</v>
      </c>
      <c r="Q163" s="393">
        <v>1.32</v>
      </c>
      <c r="R163" s="393"/>
      <c r="S163" s="393">
        <v>2.36</v>
      </c>
      <c r="T163" s="393">
        <v>0.67</v>
      </c>
      <c r="U163" s="393">
        <v>0.76</v>
      </c>
      <c r="V163" s="393"/>
    </row>
    <row r="164" spans="1:22">
      <c r="A164" s="59" t="str">
        <f t="shared" si="2"/>
        <v>IndoorDenseSoluble concentrates, emulsifiable concentrate, etc.Upward sprayingManual-KnapsackProtected Hands</v>
      </c>
      <c r="B164" s="124" t="s">
        <v>507</v>
      </c>
      <c r="C164" s="124" t="s">
        <v>497</v>
      </c>
      <c r="D164" s="124" t="s">
        <v>505</v>
      </c>
      <c r="E164" s="124" t="s">
        <v>504</v>
      </c>
      <c r="F164" s="124" t="s">
        <v>503</v>
      </c>
      <c r="G164" s="393"/>
      <c r="H164" s="393"/>
      <c r="I164" s="393"/>
      <c r="J164" s="393">
        <v>21</v>
      </c>
      <c r="K164" s="393"/>
      <c r="L164" s="393"/>
      <c r="M164" s="393"/>
      <c r="N164" s="393">
        <v>164</v>
      </c>
      <c r="O164" s="393">
        <v>1.71</v>
      </c>
      <c r="P164" s="393">
        <v>1</v>
      </c>
      <c r="Q164" s="393">
        <v>1.32</v>
      </c>
      <c r="R164" s="393"/>
      <c r="S164" s="393">
        <v>2.36</v>
      </c>
      <c r="T164" s="393">
        <v>0.67</v>
      </c>
      <c r="U164" s="393">
        <v>0.76</v>
      </c>
      <c r="V164" s="393"/>
    </row>
    <row r="165" spans="1:22">
      <c r="A165" s="59" t="str">
        <f t="shared" si="2"/>
        <v>IndoorDenseSoluble concentrates, emulsifiable concentrate, etc.Upward sprayingManual-TrolleyBody</v>
      </c>
      <c r="B165" s="124" t="s">
        <v>507</v>
      </c>
      <c r="C165" s="124" t="s">
        <v>497</v>
      </c>
      <c r="D165" s="124" t="s">
        <v>505</v>
      </c>
      <c r="E165" s="124" t="s">
        <v>506</v>
      </c>
      <c r="F165" s="124" t="s">
        <v>420</v>
      </c>
      <c r="G165" s="393">
        <v>3.04</v>
      </c>
      <c r="H165" s="393">
        <v>0.74</v>
      </c>
      <c r="I165" s="393">
        <v>0.52</v>
      </c>
      <c r="J165" s="393"/>
      <c r="K165" s="393">
        <v>3.87</v>
      </c>
      <c r="L165" s="393">
        <v>0.69</v>
      </c>
      <c r="M165" s="393"/>
      <c r="N165" s="393"/>
      <c r="O165" s="393">
        <v>5.59</v>
      </c>
      <c r="P165" s="393">
        <v>1</v>
      </c>
      <c r="Q165" s="393">
        <f>0.67-0.81</f>
        <v>-0.14000000000000001</v>
      </c>
      <c r="R165" s="393"/>
      <c r="S165" s="393">
        <v>6.1</v>
      </c>
      <c r="T165" s="393">
        <v>1</v>
      </c>
      <c r="U165" s="393">
        <f>0.48-0.92</f>
        <v>-0.44000000000000006</v>
      </c>
      <c r="V165" s="393"/>
    </row>
    <row r="166" spans="1:22">
      <c r="A166" s="59" t="str">
        <f t="shared" si="2"/>
        <v>IndoorDenseWettable granules, soluble granulesUpward sprayingManual-TrolleyBody</v>
      </c>
      <c r="B166" s="124" t="s">
        <v>507</v>
      </c>
      <c r="C166" s="124" t="s">
        <v>500</v>
      </c>
      <c r="D166" s="124" t="s">
        <v>505</v>
      </c>
      <c r="E166" s="124" t="s">
        <v>506</v>
      </c>
      <c r="F166" s="124" t="s">
        <v>420</v>
      </c>
      <c r="G166" s="393">
        <v>3.04</v>
      </c>
      <c r="H166" s="393">
        <v>0.74</v>
      </c>
      <c r="I166" s="393"/>
      <c r="J166" s="393"/>
      <c r="K166" s="393">
        <v>3.87</v>
      </c>
      <c r="L166" s="393">
        <v>0.69</v>
      </c>
      <c r="M166" s="393"/>
      <c r="N166" s="393"/>
      <c r="O166" s="393">
        <v>5.59</v>
      </c>
      <c r="P166" s="393">
        <v>1</v>
      </c>
      <c r="Q166" s="393">
        <f>0.67-0.81</f>
        <v>-0.14000000000000001</v>
      </c>
      <c r="R166" s="393">
        <v>-0.64</v>
      </c>
      <c r="S166" s="393">
        <v>6.1</v>
      </c>
      <c r="T166" s="393">
        <v>1</v>
      </c>
      <c r="U166" s="393">
        <f>0.48-0.92</f>
        <v>-0.44000000000000006</v>
      </c>
      <c r="V166" s="393"/>
    </row>
    <row r="167" spans="1:22">
      <c r="A167" s="59" t="str">
        <f t="shared" si="2"/>
        <v>IndoorDenseWettable powder, soluble powderUpward sprayingManual-TrolleyBody</v>
      </c>
      <c r="B167" s="124" t="s">
        <v>507</v>
      </c>
      <c r="C167" s="124" t="s">
        <v>501</v>
      </c>
      <c r="D167" s="124" t="s">
        <v>505</v>
      </c>
      <c r="E167" s="124" t="s">
        <v>506</v>
      </c>
      <c r="F167" s="124" t="s">
        <v>420</v>
      </c>
      <c r="G167" s="393">
        <v>3.04</v>
      </c>
      <c r="H167" s="393">
        <v>0.74</v>
      </c>
      <c r="I167" s="393">
        <v>1.85</v>
      </c>
      <c r="J167" s="393"/>
      <c r="K167" s="393">
        <v>3.87</v>
      </c>
      <c r="L167" s="393">
        <v>0.69</v>
      </c>
      <c r="M167" s="393">
        <v>1.29</v>
      </c>
      <c r="N167" s="393"/>
      <c r="O167" s="393">
        <v>5.59</v>
      </c>
      <c r="P167" s="393">
        <v>1</v>
      </c>
      <c r="Q167" s="393">
        <f>0.67-0.81</f>
        <v>-0.14000000000000001</v>
      </c>
      <c r="R167" s="393">
        <v>-0.64</v>
      </c>
      <c r="S167" s="393">
        <v>6.1</v>
      </c>
      <c r="T167" s="393">
        <v>1</v>
      </c>
      <c r="U167" s="393">
        <f>0.48-0.92</f>
        <v>-0.44000000000000006</v>
      </c>
      <c r="V167" s="393"/>
    </row>
    <row r="168" spans="1:22">
      <c r="A168" s="59" t="str">
        <f t="shared" si="2"/>
        <v>IndoorDenseSoluble concentrates, emulsifiable concentrate, etc.Upward sprayingManual-TrolleyHands</v>
      </c>
      <c r="B168" s="124" t="s">
        <v>507</v>
      </c>
      <c r="C168" s="124" t="s">
        <v>497</v>
      </c>
      <c r="D168" s="124" t="s">
        <v>505</v>
      </c>
      <c r="E168" s="124" t="s">
        <v>506</v>
      </c>
      <c r="F168" s="124" t="s">
        <v>418</v>
      </c>
      <c r="G168" s="393">
        <v>3.27</v>
      </c>
      <c r="H168" s="393">
        <v>0.64</v>
      </c>
      <c r="I168" s="393">
        <v>0.64</v>
      </c>
      <c r="J168" s="393"/>
      <c r="K168" s="393">
        <v>3.74</v>
      </c>
      <c r="L168" s="393">
        <v>0.69</v>
      </c>
      <c r="M168" s="393">
        <v>0.71</v>
      </c>
      <c r="N168" s="393"/>
      <c r="O168" s="393">
        <v>4.4000000000000004</v>
      </c>
      <c r="P168" s="393">
        <v>0.83</v>
      </c>
      <c r="Q168" s="393">
        <f>0.17-0.62</f>
        <v>-0.44999999999999996</v>
      </c>
      <c r="R168" s="393"/>
      <c r="S168" s="393">
        <v>4.8099999999999996</v>
      </c>
      <c r="T168" s="393">
        <v>0.84</v>
      </c>
      <c r="U168" s="393">
        <f>0.14-0.82</f>
        <v>-0.67999999999999994</v>
      </c>
      <c r="V168" s="393"/>
    </row>
    <row r="169" spans="1:22">
      <c r="A169" s="59" t="str">
        <f t="shared" si="2"/>
        <v>IndoorDenseWettable granules, soluble granulesUpward sprayingManual-TrolleyHands</v>
      </c>
      <c r="B169" s="124" t="s">
        <v>507</v>
      </c>
      <c r="C169" s="124" t="s">
        <v>500</v>
      </c>
      <c r="D169" s="124" t="s">
        <v>505</v>
      </c>
      <c r="E169" s="124" t="s">
        <v>506</v>
      </c>
      <c r="F169" s="124" t="s">
        <v>418</v>
      </c>
      <c r="G169" s="393">
        <v>3.27</v>
      </c>
      <c r="H169" s="393">
        <v>0.64</v>
      </c>
      <c r="I169" s="393">
        <v>0</v>
      </c>
      <c r="J169" s="393"/>
      <c r="K169" s="393">
        <v>3.74</v>
      </c>
      <c r="L169" s="393">
        <v>0.69</v>
      </c>
      <c r="M169" s="393">
        <v>0</v>
      </c>
      <c r="N169" s="393"/>
      <c r="O169" s="393">
        <v>4.4000000000000004</v>
      </c>
      <c r="P169" s="393">
        <v>0.83</v>
      </c>
      <c r="Q169" s="393">
        <f>0.17-0.62</f>
        <v>-0.44999999999999996</v>
      </c>
      <c r="R169" s="393"/>
      <c r="S169" s="393">
        <v>4.8099999999999996</v>
      </c>
      <c r="T169" s="393">
        <v>0.84</v>
      </c>
      <c r="U169" s="393">
        <f>0.14-0.82</f>
        <v>-0.67999999999999994</v>
      </c>
      <c r="V169" s="393"/>
    </row>
    <row r="170" spans="1:22">
      <c r="A170" s="59" t="str">
        <f t="shared" si="2"/>
        <v>IndoorDenseWettable powder, soluble powderUpward sprayingManual-TrolleyHands</v>
      </c>
      <c r="B170" s="124" t="s">
        <v>507</v>
      </c>
      <c r="C170" s="124" t="s">
        <v>501</v>
      </c>
      <c r="D170" s="124" t="s">
        <v>505</v>
      </c>
      <c r="E170" s="124" t="s">
        <v>506</v>
      </c>
      <c r="F170" s="124" t="s">
        <v>418</v>
      </c>
      <c r="G170" s="393">
        <v>3.27</v>
      </c>
      <c r="H170" s="393">
        <v>0.64</v>
      </c>
      <c r="I170" s="393">
        <v>1.28</v>
      </c>
      <c r="J170" s="393"/>
      <c r="K170" s="393">
        <v>3.74</v>
      </c>
      <c r="L170" s="393">
        <v>0.69</v>
      </c>
      <c r="M170" s="393">
        <v>1.21</v>
      </c>
      <c r="N170" s="393"/>
      <c r="O170" s="393">
        <v>4.4000000000000004</v>
      </c>
      <c r="P170" s="393">
        <v>0.83</v>
      </c>
      <c r="Q170" s="393">
        <f>0.17-0.62</f>
        <v>-0.44999999999999996</v>
      </c>
      <c r="R170" s="393"/>
      <c r="S170" s="393">
        <v>4.8099999999999996</v>
      </c>
      <c r="T170" s="393">
        <v>0.84</v>
      </c>
      <c r="U170" s="393">
        <f>0.14-0.82</f>
        <v>-0.67999999999999994</v>
      </c>
      <c r="V170" s="393"/>
    </row>
    <row r="171" spans="1:22">
      <c r="A171" s="59" t="str">
        <f t="shared" si="2"/>
        <v>IndoorDenseSoluble concentrates, emulsifiable concentrate, etc.Upward sprayingManual-TrolleyHead</v>
      </c>
      <c r="B171" s="124" t="s">
        <v>507</v>
      </c>
      <c r="C171" s="124" t="s">
        <v>497</v>
      </c>
      <c r="D171" s="124" t="s">
        <v>505</v>
      </c>
      <c r="E171" s="124" t="s">
        <v>506</v>
      </c>
      <c r="F171" s="124" t="s">
        <v>104</v>
      </c>
      <c r="G171" s="393">
        <v>1.46</v>
      </c>
      <c r="H171" s="393">
        <v>1</v>
      </c>
      <c r="I171" s="393">
        <f>0.34</f>
        <v>0.34</v>
      </c>
      <c r="J171" s="393"/>
      <c r="K171" s="393">
        <v>2.19</v>
      </c>
      <c r="L171" s="393">
        <v>1</v>
      </c>
      <c r="M171" s="393">
        <v>0.39</v>
      </c>
      <c r="N171" s="393"/>
      <c r="O171" s="393">
        <v>2.7</v>
      </c>
      <c r="P171" s="393">
        <v>0.18</v>
      </c>
      <c r="Q171" s="393">
        <f>0.29-0.41</f>
        <v>-0.12</v>
      </c>
      <c r="R171" s="393"/>
      <c r="S171" s="393">
        <v>3.1</v>
      </c>
      <c r="T171" s="393">
        <v>0.33</v>
      </c>
      <c r="U171" s="393">
        <f>0.79+0.25</f>
        <v>1.04</v>
      </c>
      <c r="V171" s="393"/>
    </row>
    <row r="172" spans="1:22" s="59" customFormat="1">
      <c r="A172" s="59" t="str">
        <f t="shared" si="2"/>
        <v>IndoorDenseWettable granules, soluble granulesUpward sprayingManual-TrolleyHead</v>
      </c>
      <c r="B172" s="124" t="s">
        <v>507</v>
      </c>
      <c r="C172" s="124" t="s">
        <v>500</v>
      </c>
      <c r="D172" s="124" t="s">
        <v>505</v>
      </c>
      <c r="E172" s="124" t="s">
        <v>506</v>
      </c>
      <c r="F172" s="124" t="s">
        <v>104</v>
      </c>
      <c r="G172" s="393">
        <v>1.46</v>
      </c>
      <c r="H172" s="393">
        <v>1</v>
      </c>
      <c r="I172" s="393">
        <v>0</v>
      </c>
      <c r="J172" s="393"/>
      <c r="K172" s="393">
        <v>2.19</v>
      </c>
      <c r="L172" s="393">
        <v>1</v>
      </c>
      <c r="M172" s="393">
        <v>0</v>
      </c>
      <c r="N172" s="393"/>
      <c r="O172" s="393">
        <v>2.7</v>
      </c>
      <c r="P172" s="393">
        <v>0.18</v>
      </c>
      <c r="Q172" s="393">
        <f>0.29-0.41</f>
        <v>-0.12</v>
      </c>
      <c r="R172" s="393"/>
      <c r="S172" s="393">
        <v>3.1</v>
      </c>
      <c r="T172" s="393">
        <v>0.33</v>
      </c>
      <c r="U172" s="393">
        <f>0.79+0.25</f>
        <v>1.04</v>
      </c>
      <c r="V172" s="393"/>
    </row>
    <row r="173" spans="1:22" s="59" customFormat="1">
      <c r="A173" s="59" t="str">
        <f t="shared" si="2"/>
        <v>IndoorDenseWettable powder, soluble powderUpward sprayingManual-TrolleyHead</v>
      </c>
      <c r="B173" s="124" t="s">
        <v>507</v>
      </c>
      <c r="C173" s="124" t="s">
        <v>501</v>
      </c>
      <c r="D173" s="124" t="s">
        <v>505</v>
      </c>
      <c r="E173" s="124" t="s">
        <v>506</v>
      </c>
      <c r="F173" s="124" t="s">
        <v>104</v>
      </c>
      <c r="G173" s="393">
        <v>1.46</v>
      </c>
      <c r="H173" s="393">
        <v>1</v>
      </c>
      <c r="I173" s="393">
        <v>0.7</v>
      </c>
      <c r="J173" s="393"/>
      <c r="K173" s="393">
        <v>2.19</v>
      </c>
      <c r="L173" s="393">
        <v>1</v>
      </c>
      <c r="M173" s="393">
        <v>0.11</v>
      </c>
      <c r="N173" s="393"/>
      <c r="O173" s="393">
        <v>2.7</v>
      </c>
      <c r="P173" s="393">
        <v>0.18</v>
      </c>
      <c r="Q173" s="393">
        <f>0.29-0.41</f>
        <v>-0.12</v>
      </c>
      <c r="R173" s="393"/>
      <c r="S173" s="393">
        <v>3.1</v>
      </c>
      <c r="T173" s="393">
        <v>0.33</v>
      </c>
      <c r="U173" s="393">
        <f>0.79+0.25</f>
        <v>1.04</v>
      </c>
      <c r="V173" s="393"/>
    </row>
    <row r="174" spans="1:22">
      <c r="A174" s="59" t="str">
        <f t="shared" si="2"/>
        <v>IndoorDenseSoluble concentrates, emulsifiable concentrate, etc.Upward sprayingManual-TrolleyInhalation</v>
      </c>
      <c r="B174" s="124" t="s">
        <v>507</v>
      </c>
      <c r="C174" s="124" t="s">
        <v>497</v>
      </c>
      <c r="D174" s="124" t="s">
        <v>505</v>
      </c>
      <c r="E174" s="124" t="s">
        <v>506</v>
      </c>
      <c r="F174" s="124" t="s">
        <v>109</v>
      </c>
      <c r="G174" s="393">
        <v>1.38</v>
      </c>
      <c r="H174" s="393">
        <v>0.38</v>
      </c>
      <c r="I174" s="393">
        <v>-0.87</v>
      </c>
      <c r="J174" s="393"/>
      <c r="K174" s="393">
        <v>1.81</v>
      </c>
      <c r="L174" s="393">
        <v>0.49</v>
      </c>
      <c r="M174" s="393">
        <v>-0.92</v>
      </c>
      <c r="N174" s="393"/>
      <c r="O174" s="393">
        <v>2.69</v>
      </c>
      <c r="P174" s="393">
        <v>1</v>
      </c>
      <c r="Q174" s="393">
        <f>0.08-0.19</f>
        <v>-0.11</v>
      </c>
      <c r="R174" s="393"/>
      <c r="S174" s="393">
        <v>2.82</v>
      </c>
      <c r="T174" s="393">
        <v>1</v>
      </c>
      <c r="U174" s="393">
        <f>0.63-0.26</f>
        <v>0.37</v>
      </c>
      <c r="V174" s="393"/>
    </row>
    <row r="175" spans="1:22">
      <c r="A175" s="59" t="str">
        <f t="shared" si="2"/>
        <v>IndoorDenseWettable granules, soluble granulesUpward sprayingManual-TrolleyInhalation</v>
      </c>
      <c r="B175" s="124" t="s">
        <v>507</v>
      </c>
      <c r="C175" s="124" t="s">
        <v>500</v>
      </c>
      <c r="D175" s="124" t="s">
        <v>505</v>
      </c>
      <c r="E175" s="124" t="s">
        <v>506</v>
      </c>
      <c r="F175" s="124" t="s">
        <v>109</v>
      </c>
      <c r="G175" s="393">
        <v>1.38</v>
      </c>
      <c r="H175" s="393">
        <v>0.38</v>
      </c>
      <c r="I175" s="393"/>
      <c r="J175" s="393"/>
      <c r="K175" s="393">
        <v>1.81</v>
      </c>
      <c r="L175" s="393">
        <v>0.49</v>
      </c>
      <c r="M175" s="393"/>
      <c r="N175" s="393"/>
      <c r="O175" s="393">
        <v>2.69</v>
      </c>
      <c r="P175" s="393">
        <v>1</v>
      </c>
      <c r="Q175" s="393">
        <f>0.08-0.19</f>
        <v>-0.11</v>
      </c>
      <c r="R175" s="393"/>
      <c r="S175" s="393">
        <v>2.82</v>
      </c>
      <c r="T175" s="393">
        <v>1</v>
      </c>
      <c r="U175" s="393">
        <f>0.63-0.26</f>
        <v>0.37</v>
      </c>
      <c r="V175" s="393"/>
    </row>
    <row r="176" spans="1:22">
      <c r="A176" s="59" t="str">
        <f t="shared" si="2"/>
        <v>IndoorDenseWettable powder, soluble powderUpward sprayingManual-TrolleyInhalation</v>
      </c>
      <c r="B176" s="124" t="s">
        <v>507</v>
      </c>
      <c r="C176" s="124" t="s">
        <v>501</v>
      </c>
      <c r="D176" s="124" t="s">
        <v>505</v>
      </c>
      <c r="E176" s="124" t="s">
        <v>506</v>
      </c>
      <c r="F176" s="124" t="s">
        <v>109</v>
      </c>
      <c r="G176" s="393">
        <v>1.38</v>
      </c>
      <c r="H176" s="393">
        <v>0.38</v>
      </c>
      <c r="I176" s="393">
        <v>1.96</v>
      </c>
      <c r="J176" s="393"/>
      <c r="K176" s="393">
        <v>1.81</v>
      </c>
      <c r="L176" s="393">
        <v>0.49</v>
      </c>
      <c r="M176" s="393">
        <v>1.54</v>
      </c>
      <c r="N176" s="393"/>
      <c r="O176" s="393">
        <v>2.69</v>
      </c>
      <c r="P176" s="393">
        <v>1</v>
      </c>
      <c r="Q176" s="393">
        <f>0.08-0.19</f>
        <v>-0.11</v>
      </c>
      <c r="R176" s="393"/>
      <c r="S176" s="393">
        <v>2.82</v>
      </c>
      <c r="T176" s="393">
        <v>1</v>
      </c>
      <c r="U176" s="393">
        <f>0.63-0.26</f>
        <v>0.37</v>
      </c>
      <c r="V176" s="393"/>
    </row>
    <row r="177" spans="1:22">
      <c r="A177" s="59" t="str">
        <f t="shared" si="2"/>
        <v>IndoorDenseSoluble concentrates, emulsifiable concentrate, etc.Upward sprayingManual-TrolleyProtected Body</v>
      </c>
      <c r="B177" s="124" t="s">
        <v>507</v>
      </c>
      <c r="C177" s="131" t="s">
        <v>497</v>
      </c>
      <c r="D177" s="131" t="s">
        <v>505</v>
      </c>
      <c r="E177" s="131" t="s">
        <v>506</v>
      </c>
      <c r="F177" s="131" t="s">
        <v>502</v>
      </c>
      <c r="G177" s="393">
        <v>1.58</v>
      </c>
      <c r="H177" s="393">
        <v>0.62</v>
      </c>
      <c r="I177" s="393">
        <v>0.12</v>
      </c>
      <c r="J177" s="393"/>
      <c r="K177" s="393">
        <v>2.09</v>
      </c>
      <c r="L177" s="393">
        <v>0.78</v>
      </c>
      <c r="M177" s="393">
        <v>0.44</v>
      </c>
      <c r="N177" s="393"/>
      <c r="O177" s="393">
        <v>4.1900000000000004</v>
      </c>
      <c r="P177" s="393">
        <v>1</v>
      </c>
      <c r="Q177" s="393">
        <f>1.64-1.23+IF(I_PPE_appl="Certified protective coverall",-0.54,IF(I_PPE_appl="Rain suit &amp; trousers",-2.42,0))</f>
        <v>0.40999999999999992</v>
      </c>
      <c r="R177" s="393"/>
      <c r="S177" s="393">
        <v>5.07</v>
      </c>
      <c r="T177" s="393">
        <v>1</v>
      </c>
      <c r="U177" s="393">
        <f>1.07-1.71+IF(I_PPE_appl="Certified protective coverall",-0.64,IF(I_PPE_appl="Rain suit &amp; trousers",-2.2,0))</f>
        <v>-0.6399999999999999</v>
      </c>
      <c r="V177" s="393"/>
    </row>
    <row r="178" spans="1:22">
      <c r="A178" s="59" t="str">
        <f t="shared" si="2"/>
        <v>IndoorDenseWettable granules, soluble granulesUpward sprayingManual-TrolleyProtected Body</v>
      </c>
      <c r="B178" s="124" t="s">
        <v>507</v>
      </c>
      <c r="C178" s="131" t="s">
        <v>500</v>
      </c>
      <c r="D178" s="131" t="s">
        <v>505</v>
      </c>
      <c r="E178" s="131" t="s">
        <v>506</v>
      </c>
      <c r="F178" s="131" t="s">
        <v>502</v>
      </c>
      <c r="G178" s="393">
        <v>1.58</v>
      </c>
      <c r="H178" s="393">
        <v>0.62</v>
      </c>
      <c r="I178" s="393"/>
      <c r="J178" s="393"/>
      <c r="K178" s="393">
        <v>2.09</v>
      </c>
      <c r="L178" s="393">
        <v>0.78</v>
      </c>
      <c r="M178" s="393"/>
      <c r="N178" s="393"/>
      <c r="O178" s="393">
        <v>4.1900000000000004</v>
      </c>
      <c r="P178" s="393">
        <v>1</v>
      </c>
      <c r="Q178" s="393">
        <f>1.64-1.23+IF(I_PPE_appl="Certified protective coverall",-0.54,IF(I_PPE_appl="Rain suit &amp; trousers",-2.42,0))</f>
        <v>0.40999999999999992</v>
      </c>
      <c r="R178" s="393"/>
      <c r="S178" s="393">
        <v>5.07</v>
      </c>
      <c r="T178" s="393">
        <v>1</v>
      </c>
      <c r="U178" s="393">
        <f>1.07-1.71+IF(I_PPE_appl="Certified protective coverall",-0.64,IF(I_PPE_appl="Rain suit &amp; trousers",-2.2,0))</f>
        <v>-0.6399999999999999</v>
      </c>
      <c r="V178" s="393"/>
    </row>
    <row r="179" spans="1:22">
      <c r="A179" s="59" t="str">
        <f t="shared" si="2"/>
        <v>IndoorDenseWettable powder, soluble powderUpward sprayingManual-TrolleyProtected Body</v>
      </c>
      <c r="B179" s="124" t="s">
        <v>507</v>
      </c>
      <c r="C179" s="131" t="s">
        <v>501</v>
      </c>
      <c r="D179" s="131" t="s">
        <v>505</v>
      </c>
      <c r="E179" s="131" t="s">
        <v>506</v>
      </c>
      <c r="F179" s="131" t="s">
        <v>502</v>
      </c>
      <c r="G179" s="393">
        <v>1.58</v>
      </c>
      <c r="H179" s="393">
        <v>0.62</v>
      </c>
      <c r="I179" s="393">
        <v>1.84</v>
      </c>
      <c r="J179" s="393"/>
      <c r="K179" s="393">
        <v>2.09</v>
      </c>
      <c r="L179" s="393">
        <v>0.78</v>
      </c>
      <c r="M179" s="393">
        <v>1.58</v>
      </c>
      <c r="N179" s="393"/>
      <c r="O179" s="393">
        <v>4.1900000000000004</v>
      </c>
      <c r="P179" s="393">
        <v>1</v>
      </c>
      <c r="Q179" s="393">
        <f>1.64-1.23+IF(I_PPE_appl="Certified protective coverall",-0.54,IF(I_PPE_appl="Rain suit &amp; trousers",-2.42,0))</f>
        <v>0.40999999999999992</v>
      </c>
      <c r="R179" s="393"/>
      <c r="S179" s="393">
        <v>5.07</v>
      </c>
      <c r="T179" s="393">
        <v>1</v>
      </c>
      <c r="U179" s="393">
        <f>1.07-1.71+IF(I_PPE_appl="Certified protective coverall",-0.64,IF(I_PPE_appl="Rain suit &amp; trousers",-2.2,0))</f>
        <v>-0.6399999999999999</v>
      </c>
      <c r="V179" s="393"/>
    </row>
    <row r="180" spans="1:22">
      <c r="A180" s="59" t="str">
        <f t="shared" si="2"/>
        <v>IndoorDenseSoluble concentrates, emulsifiable concentrate, etc.Upward sprayingManual-TrolleyProtected Hands</v>
      </c>
      <c r="B180" s="124" t="s">
        <v>507</v>
      </c>
      <c r="C180" s="124" t="s">
        <v>497</v>
      </c>
      <c r="D180" s="124" t="s">
        <v>505</v>
      </c>
      <c r="E180" s="124" t="s">
        <v>506</v>
      </c>
      <c r="F180" s="124" t="s">
        <v>503</v>
      </c>
      <c r="G180" s="393">
        <v>4.4000000000000004</v>
      </c>
      <c r="H180" s="393">
        <v>0.46</v>
      </c>
      <c r="I180" s="393">
        <v>0.32</v>
      </c>
      <c r="J180" s="393"/>
      <c r="K180" s="393">
        <v>2.29</v>
      </c>
      <c r="L180" s="393">
        <v>0.53</v>
      </c>
      <c r="M180" s="393">
        <v>0</v>
      </c>
      <c r="N180" s="393"/>
      <c r="O180" s="393">
        <v>1.71</v>
      </c>
      <c r="P180" s="393">
        <v>1</v>
      </c>
      <c r="Q180" s="393">
        <f>1.32-1.04</f>
        <v>0.28000000000000003</v>
      </c>
      <c r="R180" s="393"/>
      <c r="S180" s="393">
        <v>2.36</v>
      </c>
      <c r="T180" s="393">
        <v>0.67</v>
      </c>
      <c r="U180" s="393">
        <f>0.76-1.19</f>
        <v>-0.42999999999999994</v>
      </c>
      <c r="V180" s="393"/>
    </row>
    <row r="181" spans="1:22">
      <c r="A181" s="59" t="str">
        <f t="shared" si="2"/>
        <v>IndoorDenseWettable granules, soluble granulesUpward sprayingManual-TrolleyProtected Hands</v>
      </c>
      <c r="B181" s="124" t="s">
        <v>507</v>
      </c>
      <c r="C181" s="131" t="s">
        <v>500</v>
      </c>
      <c r="D181" s="131" t="s">
        <v>505</v>
      </c>
      <c r="E181" s="131" t="s">
        <v>506</v>
      </c>
      <c r="F181" s="131" t="s">
        <v>503</v>
      </c>
      <c r="G181" s="393">
        <v>1.46</v>
      </c>
      <c r="H181" s="393">
        <v>0.46</v>
      </c>
      <c r="I181" s="393"/>
      <c r="J181" s="393"/>
      <c r="K181" s="393">
        <v>2.29</v>
      </c>
      <c r="L181" s="393">
        <v>0.53</v>
      </c>
      <c r="M181" s="393"/>
      <c r="N181" s="393"/>
      <c r="O181" s="393">
        <v>1.71</v>
      </c>
      <c r="P181" s="393">
        <v>1</v>
      </c>
      <c r="Q181" s="393">
        <f>1.32-1.04</f>
        <v>0.28000000000000003</v>
      </c>
      <c r="R181" s="393"/>
      <c r="S181" s="393">
        <v>2.36</v>
      </c>
      <c r="T181" s="393">
        <v>0.67</v>
      </c>
      <c r="U181" s="393">
        <f>0.76-1.19</f>
        <v>-0.42999999999999994</v>
      </c>
      <c r="V181" s="393"/>
    </row>
    <row r="182" spans="1:22">
      <c r="A182" s="59" t="str">
        <f t="shared" si="2"/>
        <v>IndoorDenseWettable powder, soluble powderUpward sprayingManual-TrolleyProtected Hands</v>
      </c>
      <c r="B182" s="124" t="s">
        <v>507</v>
      </c>
      <c r="C182" s="131" t="s">
        <v>501</v>
      </c>
      <c r="D182" s="131" t="s">
        <v>505</v>
      </c>
      <c r="E182" s="131" t="s">
        <v>506</v>
      </c>
      <c r="F182" s="131" t="s">
        <v>503</v>
      </c>
      <c r="G182" s="393">
        <v>1.46</v>
      </c>
      <c r="H182" s="393">
        <v>0.46</v>
      </c>
      <c r="I182" s="393">
        <v>1.66</v>
      </c>
      <c r="J182" s="393"/>
      <c r="K182" s="393">
        <v>2.29</v>
      </c>
      <c r="L182" s="393">
        <v>0.53</v>
      </c>
      <c r="M182" s="393">
        <v>1.39</v>
      </c>
      <c r="N182" s="393"/>
      <c r="O182" s="393">
        <v>1.71</v>
      </c>
      <c r="P182" s="393">
        <v>1</v>
      </c>
      <c r="Q182" s="393">
        <f>1.32-1.04</f>
        <v>0.28000000000000003</v>
      </c>
      <c r="R182" s="393"/>
      <c r="S182" s="393">
        <v>2.36</v>
      </c>
      <c r="T182" s="393">
        <v>0.67</v>
      </c>
      <c r="U182" s="393">
        <f>0.76-1.19</f>
        <v>-0.42999999999999994</v>
      </c>
      <c r="V182" s="393"/>
    </row>
    <row r="183" spans="1:22">
      <c r="A183" s="59" t="str">
        <f t="shared" si="2"/>
        <v>OutdoorSoluble concentrates, emulsifiable concentrate, etc.Downward sprayingManual-Hand heldHands</v>
      </c>
      <c r="B183" s="127" t="s">
        <v>508</v>
      </c>
      <c r="C183" s="127" t="s">
        <v>497</v>
      </c>
      <c r="D183" s="127" t="s">
        <v>498</v>
      </c>
      <c r="E183" s="127" t="s">
        <v>499</v>
      </c>
      <c r="F183" s="127" t="s">
        <v>418</v>
      </c>
      <c r="G183" s="393">
        <v>3.27</v>
      </c>
      <c r="H183" s="393">
        <v>0.64</v>
      </c>
      <c r="I183" s="393">
        <v>0.64</v>
      </c>
      <c r="J183" s="393"/>
      <c r="K183" s="393">
        <v>3.74</v>
      </c>
      <c r="L183" s="393">
        <v>0.69</v>
      </c>
      <c r="M183" s="393">
        <v>0.71</v>
      </c>
      <c r="N183" s="393"/>
      <c r="O183" s="393"/>
      <c r="P183" s="393"/>
      <c r="Q183" s="393"/>
      <c r="R183" s="393">
        <v>1544</v>
      </c>
      <c r="S183" s="393"/>
      <c r="T183" s="393"/>
      <c r="U183" s="393"/>
      <c r="V183" s="393">
        <v>4213</v>
      </c>
    </row>
    <row r="184" spans="1:22">
      <c r="A184" s="59" t="str">
        <f t="shared" si="2"/>
        <v>OutdoorSoluble concentrates, emulsifiable concentrate, etc.Downward sprayingManual-Hand heldHead</v>
      </c>
      <c r="B184" s="127" t="s">
        <v>508</v>
      </c>
      <c r="C184" s="127" t="s">
        <v>497</v>
      </c>
      <c r="D184" s="127" t="s">
        <v>498</v>
      </c>
      <c r="E184" s="127" t="s">
        <v>499</v>
      </c>
      <c r="F184" s="127" t="s">
        <v>104</v>
      </c>
      <c r="G184" s="393">
        <v>1.46</v>
      </c>
      <c r="H184" s="393">
        <v>1</v>
      </c>
      <c r="I184" s="393">
        <f>0.34</f>
        <v>0.34</v>
      </c>
      <c r="J184" s="393"/>
      <c r="K184" s="393">
        <v>2.19</v>
      </c>
      <c r="L184" s="393">
        <v>1</v>
      </c>
      <c r="M184" s="393">
        <v>0.39</v>
      </c>
      <c r="N184" s="393"/>
      <c r="O184" s="393"/>
      <c r="P184" s="393"/>
      <c r="Q184" s="393"/>
      <c r="R184" s="393">
        <v>12</v>
      </c>
      <c r="S184" s="393"/>
      <c r="T184" s="393"/>
      <c r="U184" s="393"/>
      <c r="V184" s="393">
        <v>85</v>
      </c>
    </row>
    <row r="185" spans="1:22">
      <c r="A185" s="59" t="str">
        <f t="shared" si="2"/>
        <v>OutdoorSoluble concentrates, emulsifiable concentrate, etc.Downward sprayingManual-Hand heldProtected Hands</v>
      </c>
      <c r="B185" s="127" t="s">
        <v>508</v>
      </c>
      <c r="C185" s="127" t="s">
        <v>497</v>
      </c>
      <c r="D185" s="127" t="s">
        <v>498</v>
      </c>
      <c r="E185" s="127" t="s">
        <v>499</v>
      </c>
      <c r="F185" s="127" t="s">
        <v>503</v>
      </c>
      <c r="G185" s="393">
        <v>1.46</v>
      </c>
      <c r="H185" s="393">
        <v>0.46</v>
      </c>
      <c r="I185" s="393">
        <v>0.32</v>
      </c>
      <c r="J185" s="393"/>
      <c r="K185" s="393">
        <v>2.29</v>
      </c>
      <c r="L185" s="393">
        <v>0.53</v>
      </c>
      <c r="M185" s="393">
        <v>0.83</v>
      </c>
      <c r="N185" s="393"/>
      <c r="O185" s="393"/>
      <c r="P185" s="393"/>
      <c r="Q185" s="393"/>
      <c r="R185" s="393">
        <v>5</v>
      </c>
      <c r="S185" s="393"/>
      <c r="T185" s="393"/>
      <c r="U185" s="393"/>
      <c r="V185" s="393">
        <v>22</v>
      </c>
    </row>
    <row r="186" spans="1:22">
      <c r="A186" s="59" t="str">
        <f t="shared" si="2"/>
        <v>OutdoorSoluble concentrates, emulsifiable concentrate, etc.Downward sprayingManual-Hand heldInhalation</v>
      </c>
      <c r="B186" s="127" t="s">
        <v>508</v>
      </c>
      <c r="C186" s="127" t="s">
        <v>497</v>
      </c>
      <c r="D186" s="127" t="s">
        <v>498</v>
      </c>
      <c r="E186" s="127" t="s">
        <v>499</v>
      </c>
      <c r="F186" s="127" t="s">
        <v>109</v>
      </c>
      <c r="G186" s="393">
        <v>1.38</v>
      </c>
      <c r="H186" s="393">
        <v>0.38</v>
      </c>
      <c r="I186" s="393">
        <v>-0.87</v>
      </c>
      <c r="J186" s="393"/>
      <c r="K186" s="393">
        <v>1.81</v>
      </c>
      <c r="L186" s="393">
        <v>0.49</v>
      </c>
      <c r="M186" s="393">
        <v>-0.92</v>
      </c>
      <c r="N186" s="393"/>
      <c r="O186" s="393"/>
      <c r="P186" s="393"/>
      <c r="Q186" s="393"/>
      <c r="R186" s="393">
        <v>26</v>
      </c>
      <c r="S186" s="393"/>
      <c r="T186" s="393"/>
      <c r="U186" s="393"/>
      <c r="V186" s="393">
        <v>26</v>
      </c>
    </row>
    <row r="187" spans="1:22">
      <c r="A187" s="59" t="str">
        <f t="shared" si="2"/>
        <v>OutdoorSoluble concentrates, emulsifiable concentrate, etc.Downward sprayingManual-Hand heldProtected Body</v>
      </c>
      <c r="B187" s="127" t="s">
        <v>508</v>
      </c>
      <c r="C187" s="127" t="s">
        <v>497</v>
      </c>
      <c r="D187" s="127" t="s">
        <v>498</v>
      </c>
      <c r="E187" s="127" t="s">
        <v>499</v>
      </c>
      <c r="F187" s="127" t="s">
        <v>502</v>
      </c>
      <c r="G187" s="393">
        <v>1.58</v>
      </c>
      <c r="H187" s="393">
        <v>0.62</v>
      </c>
      <c r="I187" s="393">
        <v>0.12</v>
      </c>
      <c r="J187" s="393"/>
      <c r="K187" s="393">
        <v>2.09</v>
      </c>
      <c r="L187" s="393">
        <v>0.78</v>
      </c>
      <c r="M187" s="393">
        <v>0.44</v>
      </c>
      <c r="N187" s="393"/>
      <c r="O187" s="393"/>
      <c r="P187" s="393"/>
      <c r="Q187" s="393"/>
      <c r="R187" s="393">
        <v>8903</v>
      </c>
      <c r="S187" s="393"/>
      <c r="T187" s="393"/>
      <c r="U187" s="393"/>
      <c r="V187" s="393">
        <v>62630</v>
      </c>
    </row>
    <row r="188" spans="1:22">
      <c r="A188" s="59" t="str">
        <f t="shared" si="2"/>
        <v>OutdoorSoluble concentrates, emulsifiable concentrate, etc.Downward sprayingManual-Hand heldBody</v>
      </c>
      <c r="B188" s="127" t="s">
        <v>508</v>
      </c>
      <c r="C188" s="127" t="s">
        <v>497</v>
      </c>
      <c r="D188" s="127" t="s">
        <v>498</v>
      </c>
      <c r="E188" s="127" t="s">
        <v>499</v>
      </c>
      <c r="F188" s="127" t="s">
        <v>420</v>
      </c>
      <c r="G188" s="393">
        <v>3.04</v>
      </c>
      <c r="H188" s="393">
        <v>0.74</v>
      </c>
      <c r="I188" s="393">
        <v>0.52</v>
      </c>
      <c r="J188" s="393"/>
      <c r="K188" s="393">
        <v>3.87</v>
      </c>
      <c r="L188" s="393">
        <v>0.69</v>
      </c>
      <c r="M188" s="393">
        <v>0.72</v>
      </c>
      <c r="N188" s="393"/>
      <c r="O188" s="393"/>
      <c r="P188" s="393"/>
      <c r="Q188" s="393"/>
      <c r="R188" s="393">
        <v>88868</v>
      </c>
      <c r="S188" s="393"/>
      <c r="T188" s="393"/>
      <c r="U188" s="393"/>
      <c r="V188" s="393">
        <v>137007</v>
      </c>
    </row>
    <row r="189" spans="1:22">
      <c r="A189" s="59" t="str">
        <f t="shared" si="2"/>
        <v>OutdoorWettable granules, soluble granulesDownward sprayingManual-Hand heldHands</v>
      </c>
      <c r="B189" s="127" t="s">
        <v>508</v>
      </c>
      <c r="C189" s="127" t="s">
        <v>500</v>
      </c>
      <c r="D189" s="127" t="s">
        <v>498</v>
      </c>
      <c r="E189" s="127" t="s">
        <v>499</v>
      </c>
      <c r="F189" s="127" t="s">
        <v>418</v>
      </c>
      <c r="G189" s="393">
        <v>3.27</v>
      </c>
      <c r="H189" s="393">
        <v>0.64</v>
      </c>
      <c r="I189" s="393">
        <v>0</v>
      </c>
      <c r="J189" s="393"/>
      <c r="K189" s="393">
        <v>3.74</v>
      </c>
      <c r="L189" s="393">
        <v>0.69</v>
      </c>
      <c r="M189" s="393">
        <v>0</v>
      </c>
      <c r="N189" s="393"/>
      <c r="O189" s="393"/>
      <c r="P189" s="393"/>
      <c r="Q189" s="393"/>
      <c r="R189" s="393">
        <v>1544</v>
      </c>
      <c r="S189" s="393"/>
      <c r="T189" s="393"/>
      <c r="U189" s="393"/>
      <c r="V189" s="393">
        <v>4213</v>
      </c>
    </row>
    <row r="190" spans="1:22">
      <c r="A190" s="59" t="str">
        <f t="shared" si="2"/>
        <v>OutdoorWettable granules, soluble granulesDownward sprayingManual-Hand heldHead</v>
      </c>
      <c r="B190" s="127" t="s">
        <v>508</v>
      </c>
      <c r="C190" s="127" t="s">
        <v>500</v>
      </c>
      <c r="D190" s="127" t="s">
        <v>498</v>
      </c>
      <c r="E190" s="127" t="s">
        <v>499</v>
      </c>
      <c r="F190" s="127" t="s">
        <v>104</v>
      </c>
      <c r="G190" s="393">
        <v>1.46</v>
      </c>
      <c r="H190" s="393">
        <v>1</v>
      </c>
      <c r="I190" s="393">
        <v>0</v>
      </c>
      <c r="J190" s="393"/>
      <c r="K190" s="393">
        <v>2.19</v>
      </c>
      <c r="L190" s="393">
        <v>1</v>
      </c>
      <c r="M190" s="393">
        <v>0</v>
      </c>
      <c r="N190" s="393"/>
      <c r="O190" s="393"/>
      <c r="P190" s="393"/>
      <c r="Q190" s="393"/>
      <c r="R190" s="393">
        <v>12</v>
      </c>
      <c r="S190" s="393"/>
      <c r="T190" s="393"/>
      <c r="U190" s="393"/>
      <c r="V190" s="393">
        <v>85</v>
      </c>
    </row>
    <row r="191" spans="1:22">
      <c r="A191" s="59" t="str">
        <f t="shared" si="2"/>
        <v>OutdoorWettable granules, soluble granulesDownward sprayingManual-Hand heldInhalation</v>
      </c>
      <c r="B191" s="127" t="s">
        <v>508</v>
      </c>
      <c r="C191" s="127" t="s">
        <v>500</v>
      </c>
      <c r="D191" s="127" t="s">
        <v>498</v>
      </c>
      <c r="E191" s="127" t="s">
        <v>499</v>
      </c>
      <c r="F191" s="127" t="s">
        <v>109</v>
      </c>
      <c r="G191" s="393">
        <v>1.38</v>
      </c>
      <c r="H191" s="393">
        <v>0.38</v>
      </c>
      <c r="I191" s="393"/>
      <c r="J191" s="393"/>
      <c r="K191" s="393">
        <v>1.81</v>
      </c>
      <c r="L191" s="393">
        <v>0.49</v>
      </c>
      <c r="M191" s="393"/>
      <c r="N191" s="393"/>
      <c r="O191" s="393"/>
      <c r="P191" s="393"/>
      <c r="Q191" s="393"/>
      <c r="R191" s="393">
        <v>26</v>
      </c>
      <c r="S191" s="393"/>
      <c r="T191" s="393"/>
      <c r="U191" s="393"/>
      <c r="V191" s="393">
        <v>26</v>
      </c>
    </row>
    <row r="192" spans="1:22">
      <c r="A192" s="59" t="str">
        <f t="shared" si="2"/>
        <v>OutdoorWettable granules, soluble granulesDownward sprayingManual-Hand heldProtected Body</v>
      </c>
      <c r="B192" s="127" t="s">
        <v>508</v>
      </c>
      <c r="C192" s="127" t="s">
        <v>500</v>
      </c>
      <c r="D192" s="127" t="s">
        <v>498</v>
      </c>
      <c r="E192" s="127" t="s">
        <v>499</v>
      </c>
      <c r="F192" s="127" t="s">
        <v>502</v>
      </c>
      <c r="G192" s="393">
        <v>1.58</v>
      </c>
      <c r="H192" s="393">
        <v>0.62</v>
      </c>
      <c r="I192" s="393"/>
      <c r="J192" s="393"/>
      <c r="K192" s="393">
        <v>2.09</v>
      </c>
      <c r="L192" s="393">
        <v>0.78</v>
      </c>
      <c r="M192" s="393"/>
      <c r="N192" s="393"/>
      <c r="O192" s="393"/>
      <c r="P192" s="393"/>
      <c r="Q192" s="393"/>
      <c r="R192" s="393">
        <v>8903</v>
      </c>
      <c r="S192" s="393"/>
      <c r="T192" s="393"/>
      <c r="U192" s="393"/>
      <c r="V192" s="393">
        <v>62630</v>
      </c>
    </row>
    <row r="193" spans="1:22">
      <c r="A193" s="59" t="str">
        <f t="shared" si="2"/>
        <v>OutdoorWettable granules, soluble granulesDownward sprayingManual-Hand heldProtected Hands</v>
      </c>
      <c r="B193" s="127" t="s">
        <v>508</v>
      </c>
      <c r="C193" s="127" t="s">
        <v>500</v>
      </c>
      <c r="D193" s="127" t="s">
        <v>498</v>
      </c>
      <c r="E193" s="127" t="s">
        <v>499</v>
      </c>
      <c r="F193" s="127" t="s">
        <v>503</v>
      </c>
      <c r="G193" s="393">
        <v>1.46</v>
      </c>
      <c r="H193" s="393">
        <v>0.46</v>
      </c>
      <c r="I193" s="393"/>
      <c r="J193" s="393"/>
      <c r="K193" s="393">
        <v>2.29</v>
      </c>
      <c r="L193" s="393">
        <v>0.53</v>
      </c>
      <c r="M193" s="393"/>
      <c r="N193" s="393"/>
      <c r="O193" s="393"/>
      <c r="P193" s="393"/>
      <c r="Q193" s="393"/>
      <c r="R193" s="393">
        <v>5</v>
      </c>
      <c r="S193" s="393"/>
      <c r="T193" s="393"/>
      <c r="U193" s="393"/>
      <c r="V193" s="393">
        <v>22</v>
      </c>
    </row>
    <row r="194" spans="1:22">
      <c r="A194" s="59" t="str">
        <f t="shared" si="2"/>
        <v>OutdoorWettable granules, soluble granulesDownward sprayingManual-Hand heldBody</v>
      </c>
      <c r="B194" s="127" t="s">
        <v>508</v>
      </c>
      <c r="C194" s="127" t="s">
        <v>500</v>
      </c>
      <c r="D194" s="127" t="s">
        <v>498</v>
      </c>
      <c r="E194" s="127" t="s">
        <v>499</v>
      </c>
      <c r="F194" s="127" t="s">
        <v>420</v>
      </c>
      <c r="G194" s="393">
        <v>3.04</v>
      </c>
      <c r="H194" s="393">
        <v>0.74</v>
      </c>
      <c r="I194" s="393"/>
      <c r="J194" s="393"/>
      <c r="K194" s="393">
        <v>3.87</v>
      </c>
      <c r="L194" s="393">
        <v>0.69</v>
      </c>
      <c r="M194" s="393"/>
      <c r="N194" s="393"/>
      <c r="O194" s="393"/>
      <c r="P194" s="393"/>
      <c r="Q194" s="393"/>
      <c r="R194" s="393">
        <v>88868</v>
      </c>
      <c r="S194" s="393"/>
      <c r="T194" s="393"/>
      <c r="U194" s="393"/>
      <c r="V194" s="393">
        <v>137007</v>
      </c>
    </row>
    <row r="195" spans="1:22">
      <c r="A195" s="59" t="str">
        <f t="shared" ref="A195:A258" si="3">B195&amp;C195&amp;D195&amp;E195&amp;F195</f>
        <v>OutdoorWettable powder, soluble powderDownward sprayingManual-Hand heldBody</v>
      </c>
      <c r="B195" s="127" t="s">
        <v>508</v>
      </c>
      <c r="C195" s="127" t="s">
        <v>501</v>
      </c>
      <c r="D195" s="127" t="s">
        <v>498</v>
      </c>
      <c r="E195" s="127" t="s">
        <v>499</v>
      </c>
      <c r="F195" s="127" t="s">
        <v>420</v>
      </c>
      <c r="G195" s="393">
        <v>3.04</v>
      </c>
      <c r="H195" s="393">
        <v>0.74</v>
      </c>
      <c r="I195" s="393">
        <v>1.85</v>
      </c>
      <c r="J195" s="393"/>
      <c r="K195" s="393">
        <v>3.87</v>
      </c>
      <c r="L195" s="393">
        <v>0.69</v>
      </c>
      <c r="M195" s="393">
        <v>1.29</v>
      </c>
      <c r="N195" s="393"/>
      <c r="O195" s="393"/>
      <c r="P195" s="393"/>
      <c r="Q195" s="393"/>
      <c r="R195" s="393">
        <v>88868</v>
      </c>
      <c r="S195" s="393"/>
      <c r="T195" s="393"/>
      <c r="U195" s="393"/>
      <c r="V195" s="393">
        <v>137007</v>
      </c>
    </row>
    <row r="196" spans="1:22">
      <c r="A196" s="59" t="str">
        <f t="shared" si="3"/>
        <v>OutdoorWettable powder, soluble powderDownward sprayingManual-Hand heldHands</v>
      </c>
      <c r="B196" s="127" t="s">
        <v>508</v>
      </c>
      <c r="C196" s="127" t="s">
        <v>501</v>
      </c>
      <c r="D196" s="127" t="s">
        <v>498</v>
      </c>
      <c r="E196" s="127" t="s">
        <v>499</v>
      </c>
      <c r="F196" s="127" t="s">
        <v>418</v>
      </c>
      <c r="G196" s="393">
        <v>3.27</v>
      </c>
      <c r="H196" s="393">
        <v>0.64</v>
      </c>
      <c r="I196" s="393">
        <v>1.28</v>
      </c>
      <c r="J196" s="393"/>
      <c r="K196" s="393">
        <v>3.74</v>
      </c>
      <c r="L196" s="393">
        <v>0.69</v>
      </c>
      <c r="M196" s="393">
        <v>1.21</v>
      </c>
      <c r="N196" s="393"/>
      <c r="O196" s="393"/>
      <c r="P196" s="393"/>
      <c r="Q196" s="393"/>
      <c r="R196" s="393">
        <v>1544</v>
      </c>
      <c r="S196" s="393"/>
      <c r="T196" s="393"/>
      <c r="U196" s="393"/>
      <c r="V196" s="393">
        <v>4213</v>
      </c>
    </row>
    <row r="197" spans="1:22">
      <c r="A197" s="59" t="str">
        <f t="shared" si="3"/>
        <v>OutdoorWettable powder, soluble powderDownward sprayingManual-Hand heldInhalation</v>
      </c>
      <c r="B197" s="127" t="s">
        <v>508</v>
      </c>
      <c r="C197" s="127" t="s">
        <v>501</v>
      </c>
      <c r="D197" s="127" t="s">
        <v>498</v>
      </c>
      <c r="E197" s="127" t="s">
        <v>499</v>
      </c>
      <c r="F197" s="127" t="s">
        <v>109</v>
      </c>
      <c r="G197" s="393">
        <v>1.38</v>
      </c>
      <c r="H197" s="393">
        <v>0.38</v>
      </c>
      <c r="I197" s="393">
        <v>1.96</v>
      </c>
      <c r="J197" s="393"/>
      <c r="K197" s="393">
        <v>1.81</v>
      </c>
      <c r="L197" s="393">
        <v>0.49</v>
      </c>
      <c r="M197" s="393">
        <v>1.54</v>
      </c>
      <c r="N197" s="393"/>
      <c r="O197" s="393"/>
      <c r="P197" s="393"/>
      <c r="Q197" s="393"/>
      <c r="R197" s="393">
        <v>26</v>
      </c>
      <c r="S197" s="393"/>
      <c r="T197" s="393"/>
      <c r="U197" s="393"/>
      <c r="V197" s="393">
        <v>26</v>
      </c>
    </row>
    <row r="198" spans="1:22">
      <c r="A198" s="59" t="str">
        <f t="shared" si="3"/>
        <v>OutdoorWettable powder, soluble powderDownward sprayingManual-Hand heldProtected Body</v>
      </c>
      <c r="B198" s="127" t="s">
        <v>508</v>
      </c>
      <c r="C198" s="127" t="s">
        <v>501</v>
      </c>
      <c r="D198" s="127" t="s">
        <v>498</v>
      </c>
      <c r="E198" s="127" t="s">
        <v>499</v>
      </c>
      <c r="F198" s="127" t="s">
        <v>502</v>
      </c>
      <c r="G198" s="393">
        <v>1.58</v>
      </c>
      <c r="H198" s="393">
        <v>0.62</v>
      </c>
      <c r="I198" s="393">
        <v>1.84</v>
      </c>
      <c r="J198" s="393"/>
      <c r="K198" s="393">
        <v>2.09</v>
      </c>
      <c r="L198" s="393">
        <v>0.78</v>
      </c>
      <c r="M198" s="393">
        <v>1.58</v>
      </c>
      <c r="N198" s="393"/>
      <c r="O198" s="393"/>
      <c r="P198" s="393"/>
      <c r="Q198" s="393"/>
      <c r="R198" s="393">
        <v>8903</v>
      </c>
      <c r="S198" s="393"/>
      <c r="T198" s="393"/>
      <c r="U198" s="393"/>
      <c r="V198" s="393">
        <v>62630</v>
      </c>
    </row>
    <row r="199" spans="1:22">
      <c r="A199" s="59" t="str">
        <f t="shared" si="3"/>
        <v>OutdoorWettable powder, soluble powderDownward sprayingManual-Hand heldHead</v>
      </c>
      <c r="B199" s="127" t="s">
        <v>508</v>
      </c>
      <c r="C199" s="127" t="s">
        <v>501</v>
      </c>
      <c r="D199" s="127" t="s">
        <v>498</v>
      </c>
      <c r="E199" s="127" t="s">
        <v>499</v>
      </c>
      <c r="F199" s="127" t="s">
        <v>104</v>
      </c>
      <c r="G199" s="393">
        <v>1.46</v>
      </c>
      <c r="H199" s="393">
        <v>1</v>
      </c>
      <c r="I199" s="393">
        <v>0.7</v>
      </c>
      <c r="J199" s="393"/>
      <c r="K199" s="393">
        <v>2.19</v>
      </c>
      <c r="L199" s="393">
        <v>1</v>
      </c>
      <c r="M199" s="393">
        <v>0.11</v>
      </c>
      <c r="N199" s="393"/>
      <c r="O199" s="393"/>
      <c r="P199" s="393"/>
      <c r="Q199" s="393"/>
      <c r="R199" s="393">
        <v>12</v>
      </c>
      <c r="S199" s="393"/>
      <c r="T199" s="393"/>
      <c r="U199" s="393"/>
      <c r="V199" s="393">
        <v>85</v>
      </c>
    </row>
    <row r="200" spans="1:22">
      <c r="A200" s="59" t="str">
        <f t="shared" si="3"/>
        <v>OutdoorWettable powder, soluble powderDownward sprayingManual-Hand heldProtected Hands</v>
      </c>
      <c r="B200" s="127" t="s">
        <v>508</v>
      </c>
      <c r="C200" s="127" t="s">
        <v>501</v>
      </c>
      <c r="D200" s="127" t="s">
        <v>498</v>
      </c>
      <c r="E200" s="127" t="s">
        <v>499</v>
      </c>
      <c r="F200" s="127" t="s">
        <v>503</v>
      </c>
      <c r="G200" s="393">
        <v>1.46</v>
      </c>
      <c r="H200" s="393">
        <v>0.46</v>
      </c>
      <c r="I200" s="393">
        <v>1.66</v>
      </c>
      <c r="J200" s="393"/>
      <c r="K200" s="393">
        <v>2.29</v>
      </c>
      <c r="L200" s="393">
        <v>0.53</v>
      </c>
      <c r="M200" s="393">
        <v>1.39</v>
      </c>
      <c r="N200" s="393"/>
      <c r="O200" s="393"/>
      <c r="P200" s="393"/>
      <c r="Q200" s="393"/>
      <c r="R200" s="393">
        <v>5</v>
      </c>
      <c r="S200" s="393"/>
      <c r="T200" s="393"/>
      <c r="U200" s="393"/>
      <c r="V200" s="393">
        <v>22</v>
      </c>
    </row>
    <row r="201" spans="1:22">
      <c r="A201" s="59" t="str">
        <f t="shared" si="3"/>
        <v>OutdoorSoluble concentrates, emulsifiable concentrate, etc.Downward sprayingManual-KnapsackHands</v>
      </c>
      <c r="B201" s="127" t="s">
        <v>508</v>
      </c>
      <c r="C201" s="127" t="s">
        <v>497</v>
      </c>
      <c r="D201" s="127" t="s">
        <v>498</v>
      </c>
      <c r="E201" s="127" t="s">
        <v>504</v>
      </c>
      <c r="F201" s="127" t="s">
        <v>418</v>
      </c>
      <c r="G201" s="393"/>
      <c r="H201" s="393"/>
      <c r="I201" s="393"/>
      <c r="J201" s="393">
        <v>9497</v>
      </c>
      <c r="K201" s="393"/>
      <c r="L201" s="393"/>
      <c r="M201" s="393"/>
      <c r="N201" s="393">
        <v>25490</v>
      </c>
      <c r="O201" s="393"/>
      <c r="P201" s="393"/>
      <c r="Q201" s="393"/>
      <c r="R201" s="393">
        <v>1544</v>
      </c>
      <c r="S201" s="393"/>
      <c r="T201" s="393"/>
      <c r="U201" s="393"/>
      <c r="V201" s="393">
        <v>4213</v>
      </c>
    </row>
    <row r="202" spans="1:22">
      <c r="A202" s="59" t="str">
        <f t="shared" si="3"/>
        <v>OutdoorWettable granules, soluble granulesDownward sprayingManual-KnapsackHands</v>
      </c>
      <c r="B202" s="127" t="s">
        <v>508</v>
      </c>
      <c r="C202" s="127" t="s">
        <v>500</v>
      </c>
      <c r="D202" s="127" t="s">
        <v>498</v>
      </c>
      <c r="E202" s="127" t="s">
        <v>504</v>
      </c>
      <c r="F202" s="127" t="s">
        <v>418</v>
      </c>
      <c r="G202" s="393"/>
      <c r="H202" s="393"/>
      <c r="I202" s="393"/>
      <c r="J202" s="393">
        <v>9497</v>
      </c>
      <c r="K202" s="393"/>
      <c r="L202" s="393"/>
      <c r="M202" s="393"/>
      <c r="N202" s="393">
        <v>25490</v>
      </c>
      <c r="O202" s="393"/>
      <c r="P202" s="393"/>
      <c r="Q202" s="393"/>
      <c r="R202" s="393">
        <v>1544</v>
      </c>
      <c r="S202" s="393"/>
      <c r="T202" s="393"/>
      <c r="U202" s="393"/>
      <c r="V202" s="393">
        <v>4213</v>
      </c>
    </row>
    <row r="203" spans="1:22">
      <c r="A203" s="59" t="str">
        <f t="shared" si="3"/>
        <v>OutdoorWettable powder, soluble powderDownward sprayingManual-KnapsackHands</v>
      </c>
      <c r="B203" s="127" t="s">
        <v>508</v>
      </c>
      <c r="C203" s="127" t="s">
        <v>501</v>
      </c>
      <c r="D203" s="127" t="s">
        <v>498</v>
      </c>
      <c r="E203" s="127" t="s">
        <v>504</v>
      </c>
      <c r="F203" s="127" t="s">
        <v>418</v>
      </c>
      <c r="G203" s="393"/>
      <c r="H203" s="393"/>
      <c r="I203" s="393"/>
      <c r="J203" s="393">
        <v>9497</v>
      </c>
      <c r="K203" s="393"/>
      <c r="L203" s="393"/>
      <c r="M203" s="393"/>
      <c r="N203" s="393">
        <v>25490</v>
      </c>
      <c r="O203" s="393"/>
      <c r="P203" s="393"/>
      <c r="Q203" s="393"/>
      <c r="R203" s="393">
        <v>1544</v>
      </c>
      <c r="S203" s="393"/>
      <c r="T203" s="393"/>
      <c r="U203" s="393"/>
      <c r="V203" s="393">
        <v>4213</v>
      </c>
    </row>
    <row r="204" spans="1:22">
      <c r="A204" s="59" t="str">
        <f t="shared" si="3"/>
        <v>OutdoorSoluble concentrates, emulsifiable concentrate, etc.Downward sprayingManual-KnapsackProtected Hands</v>
      </c>
      <c r="B204" s="127" t="s">
        <v>508</v>
      </c>
      <c r="C204" s="127" t="s">
        <v>497</v>
      </c>
      <c r="D204" s="127" t="s">
        <v>498</v>
      </c>
      <c r="E204" s="127" t="s">
        <v>504</v>
      </c>
      <c r="F204" s="127" t="s">
        <v>503</v>
      </c>
      <c r="G204" s="393"/>
      <c r="H204" s="393"/>
      <c r="I204" s="393"/>
      <c r="J204" s="393">
        <v>21</v>
      </c>
      <c r="K204" s="393"/>
      <c r="L204" s="393"/>
      <c r="M204" s="393"/>
      <c r="N204" s="393">
        <v>164</v>
      </c>
      <c r="O204" s="393"/>
      <c r="P204" s="393"/>
      <c r="Q204" s="393"/>
      <c r="R204" s="393">
        <v>5</v>
      </c>
      <c r="S204" s="393"/>
      <c r="T204" s="393"/>
      <c r="U204" s="393"/>
      <c r="V204" s="393">
        <v>22</v>
      </c>
    </row>
    <row r="205" spans="1:22">
      <c r="A205" s="59" t="str">
        <f t="shared" si="3"/>
        <v>OutdoorWettable granules, soluble granulesDownward sprayingManual-KnapsackProtected Hands</v>
      </c>
      <c r="B205" s="127" t="s">
        <v>508</v>
      </c>
      <c r="C205" s="127" t="s">
        <v>500</v>
      </c>
      <c r="D205" s="127" t="s">
        <v>498</v>
      </c>
      <c r="E205" s="127" t="s">
        <v>504</v>
      </c>
      <c r="F205" s="127" t="s">
        <v>503</v>
      </c>
      <c r="G205" s="393"/>
      <c r="H205" s="393"/>
      <c r="I205" s="393"/>
      <c r="J205" s="393">
        <v>21</v>
      </c>
      <c r="K205" s="393"/>
      <c r="L205" s="393"/>
      <c r="M205" s="393"/>
      <c r="N205" s="393">
        <v>164</v>
      </c>
      <c r="O205" s="393"/>
      <c r="P205" s="393"/>
      <c r="Q205" s="393"/>
      <c r="R205" s="393">
        <v>5</v>
      </c>
      <c r="S205" s="393"/>
      <c r="T205" s="393"/>
      <c r="U205" s="393"/>
      <c r="V205" s="393">
        <v>22</v>
      </c>
    </row>
    <row r="206" spans="1:22">
      <c r="A206" s="59" t="str">
        <f t="shared" si="3"/>
        <v>OutdoorWettable powder, soluble powderDownward sprayingManual-KnapsackProtected Hands</v>
      </c>
      <c r="B206" s="127" t="s">
        <v>508</v>
      </c>
      <c r="C206" s="127" t="s">
        <v>501</v>
      </c>
      <c r="D206" s="127" t="s">
        <v>498</v>
      </c>
      <c r="E206" s="127" t="s">
        <v>504</v>
      </c>
      <c r="F206" s="127" t="s">
        <v>503</v>
      </c>
      <c r="G206" s="393"/>
      <c r="H206" s="393"/>
      <c r="I206" s="393"/>
      <c r="J206" s="393">
        <v>21</v>
      </c>
      <c r="K206" s="393"/>
      <c r="L206" s="393"/>
      <c r="M206" s="393"/>
      <c r="N206" s="393">
        <v>164</v>
      </c>
      <c r="O206" s="393"/>
      <c r="P206" s="393"/>
      <c r="Q206" s="393"/>
      <c r="R206" s="393">
        <v>5</v>
      </c>
      <c r="S206" s="393"/>
      <c r="T206" s="393"/>
      <c r="U206" s="393"/>
      <c r="V206" s="393">
        <v>22</v>
      </c>
    </row>
    <row r="207" spans="1:22">
      <c r="A207" s="59" t="str">
        <f t="shared" si="3"/>
        <v>OutdoorSoluble concentrates, emulsifiable concentrate, etc.Downward sprayingManual-KnapsackProtected Body</v>
      </c>
      <c r="B207" s="127" t="s">
        <v>508</v>
      </c>
      <c r="C207" s="127" t="s">
        <v>497</v>
      </c>
      <c r="D207" s="127" t="s">
        <v>498</v>
      </c>
      <c r="E207" s="127" t="s">
        <v>504</v>
      </c>
      <c r="F207" s="127" t="s">
        <v>502</v>
      </c>
      <c r="G207" s="393"/>
      <c r="H207" s="393"/>
      <c r="I207" s="393"/>
      <c r="J207" s="393">
        <v>25</v>
      </c>
      <c r="K207" s="393"/>
      <c r="L207" s="393"/>
      <c r="M207" s="393"/>
      <c r="N207" s="393">
        <v>103</v>
      </c>
      <c r="O207" s="393"/>
      <c r="P207" s="393"/>
      <c r="Q207" s="393"/>
      <c r="R207" s="393">
        <v>8903</v>
      </c>
      <c r="S207" s="393"/>
      <c r="T207" s="393"/>
      <c r="U207" s="393"/>
      <c r="V207" s="393">
        <v>62630</v>
      </c>
    </row>
    <row r="208" spans="1:22">
      <c r="A208" s="59" t="str">
        <f t="shared" si="3"/>
        <v>OutdoorWettable granules, soluble granulesDownward sprayingManual-KnapsackProtected Body</v>
      </c>
      <c r="B208" s="127" t="s">
        <v>508</v>
      </c>
      <c r="C208" s="127" t="s">
        <v>500</v>
      </c>
      <c r="D208" s="127" t="s">
        <v>498</v>
      </c>
      <c r="E208" s="127" t="s">
        <v>504</v>
      </c>
      <c r="F208" s="127" t="s">
        <v>502</v>
      </c>
      <c r="G208" s="393"/>
      <c r="H208" s="393"/>
      <c r="I208" s="393"/>
      <c r="J208" s="393">
        <v>25</v>
      </c>
      <c r="K208" s="393"/>
      <c r="L208" s="393"/>
      <c r="M208" s="393"/>
      <c r="N208" s="393">
        <v>103</v>
      </c>
      <c r="O208" s="393"/>
      <c r="P208" s="393"/>
      <c r="Q208" s="393"/>
      <c r="R208" s="393">
        <v>8903</v>
      </c>
      <c r="S208" s="393"/>
      <c r="T208" s="393"/>
      <c r="U208" s="393"/>
      <c r="V208" s="393">
        <v>62630</v>
      </c>
    </row>
    <row r="209" spans="1:22">
      <c r="A209" s="59" t="str">
        <f t="shared" si="3"/>
        <v>OutdoorWettable powder, soluble powderDownward sprayingManual-KnapsackProtected Body</v>
      </c>
      <c r="B209" s="127" t="s">
        <v>508</v>
      </c>
      <c r="C209" s="127" t="s">
        <v>501</v>
      </c>
      <c r="D209" s="127" t="s">
        <v>498</v>
      </c>
      <c r="E209" s="127" t="s">
        <v>504</v>
      </c>
      <c r="F209" s="127" t="s">
        <v>502</v>
      </c>
      <c r="G209" s="393"/>
      <c r="H209" s="393"/>
      <c r="I209" s="393"/>
      <c r="J209" s="393">
        <v>25</v>
      </c>
      <c r="K209" s="393"/>
      <c r="L209" s="393"/>
      <c r="M209" s="393"/>
      <c r="N209" s="393">
        <v>103</v>
      </c>
      <c r="O209" s="393"/>
      <c r="P209" s="393"/>
      <c r="Q209" s="393"/>
      <c r="R209" s="393">
        <v>8903</v>
      </c>
      <c r="S209" s="393"/>
      <c r="T209" s="393"/>
      <c r="U209" s="393"/>
      <c r="V209" s="393">
        <v>62630</v>
      </c>
    </row>
    <row r="210" spans="1:22">
      <c r="A210" s="59" t="str">
        <f t="shared" si="3"/>
        <v>OutdoorSoluble concentrates, emulsifiable concentrate, etc.Downward sprayingManual-KnapsackHead</v>
      </c>
      <c r="B210" s="127" t="s">
        <v>508</v>
      </c>
      <c r="C210" s="127" t="s">
        <v>497</v>
      </c>
      <c r="D210" s="127" t="s">
        <v>498</v>
      </c>
      <c r="E210" s="127" t="s">
        <v>504</v>
      </c>
      <c r="F210" s="127" t="s">
        <v>104</v>
      </c>
      <c r="G210" s="393"/>
      <c r="H210" s="393"/>
      <c r="I210" s="393"/>
      <c r="J210" s="393">
        <v>5.5</v>
      </c>
      <c r="K210" s="393"/>
      <c r="L210" s="393"/>
      <c r="M210" s="393"/>
      <c r="N210" s="393">
        <v>11</v>
      </c>
      <c r="O210" s="393"/>
      <c r="P210" s="393"/>
      <c r="Q210" s="393"/>
      <c r="R210" s="393">
        <v>12</v>
      </c>
      <c r="S210" s="393"/>
      <c r="T210" s="393"/>
      <c r="U210" s="393"/>
      <c r="V210" s="393">
        <v>85</v>
      </c>
    </row>
    <row r="211" spans="1:22">
      <c r="A211" s="59" t="str">
        <f t="shared" si="3"/>
        <v>OutdoorWettable granules, soluble granulesDownward sprayingManual-KnapsackHead</v>
      </c>
      <c r="B211" s="127" t="s">
        <v>508</v>
      </c>
      <c r="C211" s="127" t="s">
        <v>500</v>
      </c>
      <c r="D211" s="127" t="s">
        <v>498</v>
      </c>
      <c r="E211" s="127" t="s">
        <v>504</v>
      </c>
      <c r="F211" s="127" t="s">
        <v>104</v>
      </c>
      <c r="G211" s="393"/>
      <c r="H211" s="393"/>
      <c r="I211" s="393"/>
      <c r="J211" s="393">
        <v>5.5</v>
      </c>
      <c r="K211" s="393"/>
      <c r="L211" s="393"/>
      <c r="M211" s="393"/>
      <c r="N211" s="393">
        <v>11</v>
      </c>
      <c r="O211" s="393"/>
      <c r="P211" s="393"/>
      <c r="Q211" s="393"/>
      <c r="R211" s="393">
        <v>12</v>
      </c>
      <c r="S211" s="393"/>
      <c r="T211" s="393"/>
      <c r="U211" s="393"/>
      <c r="V211" s="393">
        <v>85</v>
      </c>
    </row>
    <row r="212" spans="1:22">
      <c r="A212" s="59" t="str">
        <f t="shared" si="3"/>
        <v>OutdoorWettable powder, soluble powderDownward sprayingManual-KnapsackHead</v>
      </c>
      <c r="B212" s="127" t="s">
        <v>508</v>
      </c>
      <c r="C212" s="127" t="s">
        <v>501</v>
      </c>
      <c r="D212" s="127" t="s">
        <v>498</v>
      </c>
      <c r="E212" s="127" t="s">
        <v>504</v>
      </c>
      <c r="F212" s="127" t="s">
        <v>104</v>
      </c>
      <c r="G212" s="393"/>
      <c r="H212" s="393"/>
      <c r="I212" s="393"/>
      <c r="J212" s="393">
        <v>5.5</v>
      </c>
      <c r="K212" s="393"/>
      <c r="L212" s="393"/>
      <c r="M212" s="393"/>
      <c r="N212" s="393">
        <v>11</v>
      </c>
      <c r="O212" s="393"/>
      <c r="P212" s="393"/>
      <c r="Q212" s="393"/>
      <c r="R212" s="393">
        <v>12</v>
      </c>
      <c r="S212" s="393"/>
      <c r="T212" s="393"/>
      <c r="U212" s="393"/>
      <c r="V212" s="393">
        <v>85</v>
      </c>
    </row>
    <row r="213" spans="1:22">
      <c r="A213" s="59" t="str">
        <f t="shared" si="3"/>
        <v>OutdoorSoluble concentrates, emulsifiable concentrate, etc.Downward sprayingManual-KnapsackBody</v>
      </c>
      <c r="B213" s="127" t="s">
        <v>508</v>
      </c>
      <c r="C213" s="127" t="s">
        <v>497</v>
      </c>
      <c r="D213" s="127" t="s">
        <v>498</v>
      </c>
      <c r="E213" s="127" t="s">
        <v>504</v>
      </c>
      <c r="F213" s="127" t="s">
        <v>420</v>
      </c>
      <c r="G213" s="393"/>
      <c r="H213" s="393"/>
      <c r="I213" s="393"/>
      <c r="J213" s="393">
        <v>803</v>
      </c>
      <c r="K213" s="393"/>
      <c r="L213" s="393"/>
      <c r="M213" s="393"/>
      <c r="N213" s="393">
        <v>2787</v>
      </c>
      <c r="O213" s="393"/>
      <c r="P213" s="393"/>
      <c r="Q213" s="393"/>
      <c r="R213" s="393">
        <v>88868</v>
      </c>
      <c r="S213" s="393"/>
      <c r="T213" s="393"/>
      <c r="U213" s="393"/>
      <c r="V213" s="393">
        <v>137007</v>
      </c>
    </row>
    <row r="214" spans="1:22">
      <c r="A214" s="59" t="str">
        <f t="shared" si="3"/>
        <v>OutdoorWettable granules, soluble granulesDownward sprayingManual-KnapsackBody</v>
      </c>
      <c r="B214" s="127" t="s">
        <v>508</v>
      </c>
      <c r="C214" s="127" t="s">
        <v>500</v>
      </c>
      <c r="D214" s="127" t="s">
        <v>498</v>
      </c>
      <c r="E214" s="127" t="s">
        <v>504</v>
      </c>
      <c r="F214" s="127" t="s">
        <v>420</v>
      </c>
      <c r="G214" s="393"/>
      <c r="H214" s="393"/>
      <c r="I214" s="393"/>
      <c r="J214" s="393">
        <v>803</v>
      </c>
      <c r="K214" s="393"/>
      <c r="L214" s="393"/>
      <c r="M214" s="393"/>
      <c r="N214" s="393">
        <v>2787</v>
      </c>
      <c r="O214" s="393"/>
      <c r="P214" s="393"/>
      <c r="Q214" s="393"/>
      <c r="R214" s="393">
        <v>88868</v>
      </c>
      <c r="S214" s="393"/>
      <c r="T214" s="393"/>
      <c r="U214" s="393"/>
      <c r="V214" s="393">
        <v>137007</v>
      </c>
    </row>
    <row r="215" spans="1:22">
      <c r="A215" s="59" t="str">
        <f t="shared" si="3"/>
        <v>OutdoorWettable powder, soluble powderDownward sprayingManual-KnapsackBody</v>
      </c>
      <c r="B215" s="127" t="s">
        <v>508</v>
      </c>
      <c r="C215" s="127" t="s">
        <v>501</v>
      </c>
      <c r="D215" s="127" t="s">
        <v>498</v>
      </c>
      <c r="E215" s="127" t="s">
        <v>504</v>
      </c>
      <c r="F215" s="127" t="s">
        <v>420</v>
      </c>
      <c r="G215" s="393"/>
      <c r="H215" s="393"/>
      <c r="I215" s="393"/>
      <c r="J215" s="393">
        <v>803</v>
      </c>
      <c r="K215" s="393"/>
      <c r="L215" s="393"/>
      <c r="M215" s="393"/>
      <c r="N215" s="393">
        <v>2787</v>
      </c>
      <c r="O215" s="393"/>
      <c r="P215" s="393"/>
      <c r="Q215" s="393"/>
      <c r="R215" s="393">
        <v>88868</v>
      </c>
      <c r="S215" s="393"/>
      <c r="T215" s="393"/>
      <c r="U215" s="393"/>
      <c r="V215" s="393">
        <v>137007</v>
      </c>
    </row>
    <row r="216" spans="1:22">
      <c r="A216" s="59" t="str">
        <f t="shared" si="3"/>
        <v>OutdoorSoluble concentrates, emulsifiable concentrate, etc.Downward sprayingManual-KnapsackInhalation</v>
      </c>
      <c r="B216" s="127" t="s">
        <v>508</v>
      </c>
      <c r="C216" s="127" t="s">
        <v>497</v>
      </c>
      <c r="D216" s="127" t="s">
        <v>498</v>
      </c>
      <c r="E216" s="127" t="s">
        <v>504</v>
      </c>
      <c r="F216" s="127" t="s">
        <v>109</v>
      </c>
      <c r="G216" s="393"/>
      <c r="H216" s="393"/>
      <c r="I216" s="393"/>
      <c r="J216" s="393">
        <v>35</v>
      </c>
      <c r="K216" s="393"/>
      <c r="L216" s="393"/>
      <c r="M216" s="393">
        <v>0</v>
      </c>
      <c r="N216" s="393">
        <v>36</v>
      </c>
      <c r="O216" s="393"/>
      <c r="P216" s="393"/>
      <c r="Q216" s="393"/>
      <c r="R216" s="393">
        <v>26</v>
      </c>
      <c r="S216" s="393"/>
      <c r="T216" s="393"/>
      <c r="U216" s="393"/>
      <c r="V216" s="393">
        <v>26</v>
      </c>
    </row>
    <row r="217" spans="1:22">
      <c r="A217" s="59" t="str">
        <f t="shared" si="3"/>
        <v>OutdoorWettable granules, soluble granulesDownward sprayingManual-KnapsackInhalation</v>
      </c>
      <c r="B217" s="127" t="s">
        <v>508</v>
      </c>
      <c r="C217" s="127" t="s">
        <v>500</v>
      </c>
      <c r="D217" s="127" t="s">
        <v>498</v>
      </c>
      <c r="E217" s="127" t="s">
        <v>504</v>
      </c>
      <c r="F217" s="127" t="s">
        <v>109</v>
      </c>
      <c r="G217" s="393"/>
      <c r="H217" s="393"/>
      <c r="I217" s="393"/>
      <c r="J217" s="393">
        <v>35</v>
      </c>
      <c r="K217" s="393"/>
      <c r="L217" s="393"/>
      <c r="M217" s="393"/>
      <c r="N217" s="393">
        <v>36</v>
      </c>
      <c r="O217" s="393"/>
      <c r="P217" s="393"/>
      <c r="Q217" s="393"/>
      <c r="R217" s="393">
        <v>26</v>
      </c>
      <c r="S217" s="393"/>
      <c r="T217" s="393"/>
      <c r="U217" s="393"/>
      <c r="V217" s="393">
        <v>26</v>
      </c>
    </row>
    <row r="218" spans="1:22">
      <c r="A218" s="59" t="str">
        <f t="shared" si="3"/>
        <v>OutdoorWettable powder, soluble powderDownward sprayingManual-KnapsackInhalation</v>
      </c>
      <c r="B218" s="127" t="s">
        <v>508</v>
      </c>
      <c r="C218" s="127" t="s">
        <v>501</v>
      </c>
      <c r="D218" s="127" t="s">
        <v>498</v>
      </c>
      <c r="E218" s="127" t="s">
        <v>504</v>
      </c>
      <c r="F218" s="127" t="s">
        <v>109</v>
      </c>
      <c r="G218" s="393"/>
      <c r="H218" s="393"/>
      <c r="I218" s="393"/>
      <c r="J218" s="393">
        <v>35</v>
      </c>
      <c r="K218" s="393"/>
      <c r="L218" s="393"/>
      <c r="M218" s="393"/>
      <c r="N218" s="393">
        <v>36</v>
      </c>
      <c r="O218" s="393"/>
      <c r="P218" s="393"/>
      <c r="Q218" s="393"/>
      <c r="R218" s="393">
        <v>26</v>
      </c>
      <c r="S218" s="393"/>
      <c r="T218" s="393"/>
      <c r="U218" s="393"/>
      <c r="V218" s="393">
        <v>26</v>
      </c>
    </row>
    <row r="219" spans="1:22">
      <c r="A219" s="59" t="str">
        <f t="shared" si="3"/>
        <v>OutdoorSoluble concentrates, emulsifiable concentrate, etc.Downward sprayingVehicle-mountedBody</v>
      </c>
      <c r="B219" s="127" t="s">
        <v>508</v>
      </c>
      <c r="C219" s="127" t="s">
        <v>497</v>
      </c>
      <c r="D219" s="127" t="s">
        <v>498</v>
      </c>
      <c r="E219" s="127" t="s">
        <v>509</v>
      </c>
      <c r="F219" s="127" t="s">
        <v>420</v>
      </c>
      <c r="G219" s="393">
        <v>3.04</v>
      </c>
      <c r="H219" s="393">
        <v>0.74</v>
      </c>
      <c r="I219" s="393">
        <v>0.52</v>
      </c>
      <c r="J219" s="393"/>
      <c r="K219" s="393">
        <v>3.87</v>
      </c>
      <c r="L219" s="393">
        <v>0.69</v>
      </c>
      <c r="M219" s="393">
        <v>0.72</v>
      </c>
      <c r="N219" s="393"/>
      <c r="O219" s="393">
        <v>2.54</v>
      </c>
      <c r="P219" s="393">
        <v>1</v>
      </c>
      <c r="Q219" s="393">
        <f>0.81+IF(d_AreaTreated&gt;10,-1.43,0)</f>
        <v>0.81</v>
      </c>
      <c r="R219" s="393"/>
      <c r="S219" s="393">
        <v>1.94</v>
      </c>
      <c r="T219" s="393">
        <v>1</v>
      </c>
      <c r="U219" s="393">
        <f>1.51+IF(d_AreaTreated&gt;10,-0.82,0)</f>
        <v>1.51</v>
      </c>
      <c r="V219" s="393"/>
    </row>
    <row r="220" spans="1:22">
      <c r="A220" s="59" t="str">
        <f t="shared" si="3"/>
        <v>OutdoorWettable granules, soluble granulesDownward sprayingVehicle-mountedBody</v>
      </c>
      <c r="B220" s="127" t="s">
        <v>508</v>
      </c>
      <c r="C220" s="127" t="s">
        <v>500</v>
      </c>
      <c r="D220" s="127" t="s">
        <v>498</v>
      </c>
      <c r="E220" s="127" t="s">
        <v>509</v>
      </c>
      <c r="F220" s="127" t="s">
        <v>420</v>
      </c>
      <c r="G220" s="393">
        <v>3.04</v>
      </c>
      <c r="H220" s="393">
        <v>0.74</v>
      </c>
      <c r="I220" s="393"/>
      <c r="J220" s="393"/>
      <c r="K220" s="393">
        <v>3.87</v>
      </c>
      <c r="L220" s="393">
        <v>0.69</v>
      </c>
      <c r="M220" s="393"/>
      <c r="N220" s="393"/>
      <c r="O220" s="393">
        <v>2.54</v>
      </c>
      <c r="P220" s="393">
        <v>1</v>
      </c>
      <c r="Q220" s="393">
        <f>0.81+IF(d_AreaTreated&gt;10,-1.43,0)</f>
        <v>0.81</v>
      </c>
      <c r="R220" s="393"/>
      <c r="S220" s="393">
        <v>1.94</v>
      </c>
      <c r="T220" s="393">
        <v>1</v>
      </c>
      <c r="U220" s="393">
        <f>1.51+IF(d_AreaTreated&gt;10,-0.82,0)</f>
        <v>1.51</v>
      </c>
      <c r="V220" s="393"/>
    </row>
    <row r="221" spans="1:22">
      <c r="A221" s="59" t="str">
        <f t="shared" si="3"/>
        <v>OutdoorWettable powder, soluble powderDownward sprayingVehicle-mountedBody</v>
      </c>
      <c r="B221" s="127" t="s">
        <v>508</v>
      </c>
      <c r="C221" s="127" t="s">
        <v>501</v>
      </c>
      <c r="D221" s="127" t="s">
        <v>498</v>
      </c>
      <c r="E221" s="127" t="s">
        <v>509</v>
      </c>
      <c r="F221" s="127" t="s">
        <v>420</v>
      </c>
      <c r="G221" s="393">
        <v>3.04</v>
      </c>
      <c r="H221" s="393">
        <v>0.74</v>
      </c>
      <c r="I221" s="393">
        <v>1.85</v>
      </c>
      <c r="J221" s="393"/>
      <c r="K221" s="393">
        <v>3.87</v>
      </c>
      <c r="L221" s="393">
        <v>0.69</v>
      </c>
      <c r="M221" s="393">
        <v>1.29</v>
      </c>
      <c r="N221" s="393"/>
      <c r="O221" s="393">
        <v>2.54</v>
      </c>
      <c r="P221" s="393">
        <v>1</v>
      </c>
      <c r="Q221" s="393">
        <f>0.81+IF(d_AreaTreated&gt;10,-1.43,0)</f>
        <v>0.81</v>
      </c>
      <c r="R221" s="393"/>
      <c r="S221" s="393">
        <v>1.94</v>
      </c>
      <c r="T221" s="393">
        <v>1</v>
      </c>
      <c r="U221" s="393">
        <f>1.51+IF(d_AreaTreated&gt;10,-0.82,0)</f>
        <v>1.51</v>
      </c>
      <c r="V221" s="393"/>
    </row>
    <row r="222" spans="1:22">
      <c r="A222" s="59" t="str">
        <f t="shared" si="3"/>
        <v>OutdoorSoluble concentrates, emulsifiable concentrate, etc.Downward sprayingVehicle-mountedHands</v>
      </c>
      <c r="B222" s="127" t="s">
        <v>508</v>
      </c>
      <c r="C222" s="127" t="s">
        <v>497</v>
      </c>
      <c r="D222" s="127" t="s">
        <v>498</v>
      </c>
      <c r="E222" s="127" t="s">
        <v>509</v>
      </c>
      <c r="F222" s="127" t="s">
        <v>418</v>
      </c>
      <c r="G222" s="393">
        <v>3.27</v>
      </c>
      <c r="H222" s="393">
        <v>0.64</v>
      </c>
      <c r="I222" s="393">
        <v>0.64</v>
      </c>
      <c r="J222" s="393"/>
      <c r="K222" s="393">
        <v>3.74</v>
      </c>
      <c r="L222" s="393">
        <v>0.69</v>
      </c>
      <c r="M222" s="393">
        <v>0.71</v>
      </c>
      <c r="N222" s="393"/>
      <c r="O222" s="393">
        <v>2.84</v>
      </c>
      <c r="P222" s="393">
        <v>1</v>
      </c>
      <c r="Q222" s="393">
        <f>0.37+IF(d_AreaTreated&gt;10,-1.04,0)</f>
        <v>0.37</v>
      </c>
      <c r="R222" s="393"/>
      <c r="S222" s="393">
        <v>2.96</v>
      </c>
      <c r="T222" s="393">
        <v>0.73</v>
      </c>
      <c r="U222" s="393">
        <f>0.61+IF(d_AreaTreated&gt;10,-0.21,0)</f>
        <v>0.61</v>
      </c>
      <c r="V222" s="393"/>
    </row>
    <row r="223" spans="1:22">
      <c r="A223" s="59" t="str">
        <f t="shared" si="3"/>
        <v>OutdoorWettable granules, soluble granulesDownward sprayingVehicle-mountedHands</v>
      </c>
      <c r="B223" s="127" t="s">
        <v>508</v>
      </c>
      <c r="C223" s="127" t="s">
        <v>500</v>
      </c>
      <c r="D223" s="127" t="s">
        <v>498</v>
      </c>
      <c r="E223" s="127" t="s">
        <v>509</v>
      </c>
      <c r="F223" s="127" t="s">
        <v>418</v>
      </c>
      <c r="G223" s="393">
        <v>3.27</v>
      </c>
      <c r="H223" s="393">
        <v>0.64</v>
      </c>
      <c r="I223" s="393">
        <v>0</v>
      </c>
      <c r="J223" s="393"/>
      <c r="K223" s="393">
        <v>3.74</v>
      </c>
      <c r="L223" s="393">
        <v>0.69</v>
      </c>
      <c r="M223" s="393">
        <v>0</v>
      </c>
      <c r="N223" s="393"/>
      <c r="O223" s="393">
        <v>2.84</v>
      </c>
      <c r="P223" s="393">
        <v>1</v>
      </c>
      <c r="Q223" s="393">
        <f>0.37+IF(d_AreaTreated&gt;10,-1.04,0)</f>
        <v>0.37</v>
      </c>
      <c r="R223" s="393"/>
      <c r="S223" s="393">
        <v>2.96</v>
      </c>
      <c r="T223" s="393">
        <v>0.73</v>
      </c>
      <c r="U223" s="393">
        <f>0.61+IF(d_AreaTreated&gt;10,-0.21,0)</f>
        <v>0.61</v>
      </c>
      <c r="V223" s="393"/>
    </row>
    <row r="224" spans="1:22">
      <c r="A224" s="59" t="str">
        <f t="shared" si="3"/>
        <v>OutdoorWettable powder, soluble powderDownward sprayingVehicle-mountedHands</v>
      </c>
      <c r="B224" s="127" t="s">
        <v>508</v>
      </c>
      <c r="C224" s="127" t="s">
        <v>501</v>
      </c>
      <c r="D224" s="127" t="s">
        <v>498</v>
      </c>
      <c r="E224" s="127" t="s">
        <v>509</v>
      </c>
      <c r="F224" s="127" t="s">
        <v>418</v>
      </c>
      <c r="G224" s="393">
        <v>3.27</v>
      </c>
      <c r="H224" s="393">
        <v>0.64</v>
      </c>
      <c r="I224" s="393">
        <v>1.28</v>
      </c>
      <c r="J224" s="393"/>
      <c r="K224" s="393">
        <v>3.74</v>
      </c>
      <c r="L224" s="393">
        <v>0.69</v>
      </c>
      <c r="M224" s="393">
        <v>1.21</v>
      </c>
      <c r="N224" s="393"/>
      <c r="O224" s="393">
        <v>2.84</v>
      </c>
      <c r="P224" s="393">
        <v>1</v>
      </c>
      <c r="Q224" s="393">
        <f>0.37+IF(d_AreaTreated&gt;10,-1.04,0)</f>
        <v>0.37</v>
      </c>
      <c r="R224" s="393"/>
      <c r="S224" s="393">
        <v>2.96</v>
      </c>
      <c r="T224" s="393">
        <v>0.73</v>
      </c>
      <c r="U224" s="393">
        <f>0.61+IF(d_AreaTreated&gt;10,-0.21,0)</f>
        <v>0.61</v>
      </c>
      <c r="V224" s="393"/>
    </row>
    <row r="225" spans="1:22">
      <c r="A225" s="59" t="str">
        <f t="shared" si="3"/>
        <v>OutdoorSoluble concentrates, emulsifiable concentrate, etc.Downward sprayingVehicle-mountedHead</v>
      </c>
      <c r="B225" s="127" t="s">
        <v>508</v>
      </c>
      <c r="C225" s="127" t="s">
        <v>497</v>
      </c>
      <c r="D225" s="127" t="s">
        <v>498</v>
      </c>
      <c r="E225" s="127" t="s">
        <v>509</v>
      </c>
      <c r="F225" s="127" t="s">
        <v>104</v>
      </c>
      <c r="G225" s="393">
        <v>1.46</v>
      </c>
      <c r="H225" s="393">
        <v>1</v>
      </c>
      <c r="I225" s="393">
        <f>0.34</f>
        <v>0.34</v>
      </c>
      <c r="J225" s="393"/>
      <c r="K225" s="393">
        <v>2.19</v>
      </c>
      <c r="L225" s="393">
        <v>1</v>
      </c>
      <c r="M225" s="393">
        <v>0.39</v>
      </c>
      <c r="N225" s="393"/>
      <c r="O225" s="393">
        <v>0.24</v>
      </c>
      <c r="P225" s="393">
        <v>1</v>
      </c>
      <c r="Q225" s="393">
        <f>0.88+IF(d_AreaTreated&gt;10,-0.53,0)</f>
        <v>0.88</v>
      </c>
      <c r="R225" s="393"/>
      <c r="S225" s="393">
        <v>1.1599999999999999</v>
      </c>
      <c r="T225" s="393">
        <v>1</v>
      </c>
      <c r="U225" s="393">
        <f>1.03+IF(d_AreaTreated&gt;10,-1.12,0)</f>
        <v>1.03</v>
      </c>
      <c r="V225" s="393"/>
    </row>
    <row r="226" spans="1:22">
      <c r="A226" s="59" t="str">
        <f t="shared" si="3"/>
        <v>OutdoorWettable granules, soluble granulesDownward sprayingVehicle-mountedHead</v>
      </c>
      <c r="B226" s="127" t="s">
        <v>508</v>
      </c>
      <c r="C226" s="127" t="s">
        <v>500</v>
      </c>
      <c r="D226" s="127" t="s">
        <v>498</v>
      </c>
      <c r="E226" s="127" t="s">
        <v>509</v>
      </c>
      <c r="F226" s="127" t="s">
        <v>104</v>
      </c>
      <c r="G226" s="393">
        <v>1.46</v>
      </c>
      <c r="H226" s="393">
        <v>1</v>
      </c>
      <c r="I226" s="393">
        <v>0</v>
      </c>
      <c r="J226" s="393"/>
      <c r="K226" s="393">
        <v>2.19</v>
      </c>
      <c r="L226" s="393">
        <v>1</v>
      </c>
      <c r="M226" s="393">
        <v>0</v>
      </c>
      <c r="N226" s="393"/>
      <c r="O226" s="393">
        <v>0.24</v>
      </c>
      <c r="P226" s="393">
        <v>1</v>
      </c>
      <c r="Q226" s="393">
        <f>0.88+IF(d_AreaTreated&gt;10,-0.53,0)</f>
        <v>0.88</v>
      </c>
      <c r="R226" s="393"/>
      <c r="S226" s="393">
        <v>1.1599999999999999</v>
      </c>
      <c r="T226" s="393">
        <v>1</v>
      </c>
      <c r="U226" s="393">
        <f>1.03+IF(d_AreaTreated&gt;10,-1.12,0)</f>
        <v>1.03</v>
      </c>
      <c r="V226" s="393"/>
    </row>
    <row r="227" spans="1:22">
      <c r="A227" s="59" t="str">
        <f t="shared" si="3"/>
        <v>OutdoorSoluble concentrates, emulsifiable concentrate, etc.Downward sprayingVehicle-mountedInhalation</v>
      </c>
      <c r="B227" s="127" t="s">
        <v>508</v>
      </c>
      <c r="C227" s="127" t="s">
        <v>497</v>
      </c>
      <c r="D227" s="127" t="s">
        <v>498</v>
      </c>
      <c r="E227" s="127" t="s">
        <v>509</v>
      </c>
      <c r="F227" s="127" t="s">
        <v>109</v>
      </c>
      <c r="G227" s="393">
        <v>1.38</v>
      </c>
      <c r="H227" s="393">
        <v>0.38</v>
      </c>
      <c r="I227" s="393">
        <v>-0.87</v>
      </c>
      <c r="J227" s="393"/>
      <c r="K227" s="393">
        <v>1.81</v>
      </c>
      <c r="L227" s="393">
        <v>0.49</v>
      </c>
      <c r="M227" s="393">
        <v>-0.92</v>
      </c>
      <c r="N227" s="393"/>
      <c r="O227" s="393">
        <v>0.72</v>
      </c>
      <c r="P227" s="393">
        <v>0.5</v>
      </c>
      <c r="Q227" s="393">
        <f>0.01+IF(d_AreaTreated&gt;10,-0.71,0)</f>
        <v>0.01</v>
      </c>
      <c r="R227" s="393"/>
      <c r="S227" s="393">
        <v>1.27</v>
      </c>
      <c r="T227" s="393">
        <v>0.57999999999999996</v>
      </c>
      <c r="U227" s="393">
        <f>0.33+IF(d_AreaTreated&gt;10,-1.14,0)</f>
        <v>0.33</v>
      </c>
      <c r="V227" s="393"/>
    </row>
    <row r="228" spans="1:22">
      <c r="A228" s="59" t="str">
        <f t="shared" si="3"/>
        <v>OutdoorWettable granules, soluble granulesDownward sprayingVehicle-mountedInhalation</v>
      </c>
      <c r="B228" s="127" t="s">
        <v>508</v>
      </c>
      <c r="C228" s="127" t="s">
        <v>500</v>
      </c>
      <c r="D228" s="127" t="s">
        <v>498</v>
      </c>
      <c r="E228" s="127" t="s">
        <v>509</v>
      </c>
      <c r="F228" s="127" t="s">
        <v>109</v>
      </c>
      <c r="G228" s="393">
        <v>1.38</v>
      </c>
      <c r="H228" s="393">
        <v>0.38</v>
      </c>
      <c r="I228" s="393"/>
      <c r="J228" s="393"/>
      <c r="K228" s="393">
        <v>1.81</v>
      </c>
      <c r="L228" s="393">
        <v>0.49</v>
      </c>
      <c r="M228" s="393"/>
      <c r="N228" s="393"/>
      <c r="O228" s="393">
        <v>0.72</v>
      </c>
      <c r="P228" s="393">
        <v>0.5</v>
      </c>
      <c r="Q228" s="393">
        <f>0.01+IF(d_AreaTreated&gt;10,-0.71,0)</f>
        <v>0.01</v>
      </c>
      <c r="R228" s="393"/>
      <c r="S228" s="393">
        <v>1.27</v>
      </c>
      <c r="T228" s="393">
        <v>0.57999999999999996</v>
      </c>
      <c r="U228" s="393">
        <f>0.33+IF(d_AreaTreated&gt;10,-1.14,0)</f>
        <v>0.33</v>
      </c>
      <c r="V228" s="393"/>
    </row>
    <row r="229" spans="1:22">
      <c r="A229" s="59" t="str">
        <f t="shared" si="3"/>
        <v>OutdoorWettable powder, soluble powderDownward sprayingVehicle-mountedHead</v>
      </c>
      <c r="B229" s="127" t="s">
        <v>508</v>
      </c>
      <c r="C229" s="127" t="s">
        <v>501</v>
      </c>
      <c r="D229" s="127" t="s">
        <v>498</v>
      </c>
      <c r="E229" s="127" t="s">
        <v>509</v>
      </c>
      <c r="F229" s="127" t="s">
        <v>104</v>
      </c>
      <c r="G229" s="393">
        <v>1.46</v>
      </c>
      <c r="H229" s="393">
        <v>1</v>
      </c>
      <c r="I229" s="393">
        <v>0.7</v>
      </c>
      <c r="J229" s="393"/>
      <c r="K229" s="393">
        <v>2.19</v>
      </c>
      <c r="L229" s="393">
        <v>1</v>
      </c>
      <c r="M229" s="393">
        <v>0.11</v>
      </c>
      <c r="N229" s="393"/>
      <c r="O229" s="393">
        <v>0.24</v>
      </c>
      <c r="P229" s="393">
        <v>1</v>
      </c>
      <c r="Q229" s="393">
        <f>0.88+IF(d_AreaTreated&gt;10,-0.53,0)</f>
        <v>0.88</v>
      </c>
      <c r="R229" s="393"/>
      <c r="S229" s="393">
        <v>1.1599999999999999</v>
      </c>
      <c r="T229" s="393">
        <v>1</v>
      </c>
      <c r="U229" s="393">
        <f>1.03+IF(d_AreaTreated&gt;10,-1.12,0)</f>
        <v>1.03</v>
      </c>
      <c r="V229" s="393"/>
    </row>
    <row r="230" spans="1:22">
      <c r="A230" s="59" t="str">
        <f t="shared" si="3"/>
        <v>OutdoorWettable powder, soluble powderDownward sprayingVehicle-mountedInhalation</v>
      </c>
      <c r="B230" s="127" t="s">
        <v>508</v>
      </c>
      <c r="C230" s="127" t="s">
        <v>501</v>
      </c>
      <c r="D230" s="127" t="s">
        <v>498</v>
      </c>
      <c r="E230" s="127" t="s">
        <v>509</v>
      </c>
      <c r="F230" s="127" t="s">
        <v>109</v>
      </c>
      <c r="G230" s="393">
        <v>1.38</v>
      </c>
      <c r="H230" s="393">
        <v>0.38</v>
      </c>
      <c r="I230" s="393">
        <v>1.96</v>
      </c>
      <c r="J230" s="393"/>
      <c r="K230" s="393">
        <v>1.81</v>
      </c>
      <c r="L230" s="393">
        <v>0.49</v>
      </c>
      <c r="M230" s="393">
        <v>1.54</v>
      </c>
      <c r="N230" s="393"/>
      <c r="O230" s="393">
        <v>0.72</v>
      </c>
      <c r="P230" s="393">
        <v>0.5</v>
      </c>
      <c r="Q230" s="393">
        <f>0.01+IF(d_AreaTreated&gt;10,-0.71,0)</f>
        <v>0.01</v>
      </c>
      <c r="R230" s="393"/>
      <c r="S230" s="393">
        <v>1.27</v>
      </c>
      <c r="T230" s="393">
        <v>0.57999999999999996</v>
      </c>
      <c r="U230" s="393">
        <f>0.33+IF(d_AreaTreated&gt;10,-1.14,0)</f>
        <v>0.33</v>
      </c>
      <c r="V230" s="393"/>
    </row>
    <row r="231" spans="1:22">
      <c r="A231" s="59" t="str">
        <f t="shared" si="3"/>
        <v>OutdoorSoluble concentrates, emulsifiable concentrate, etc.Downward sprayingVehicle-mountedProtected Body</v>
      </c>
      <c r="B231" s="127" t="s">
        <v>508</v>
      </c>
      <c r="C231" s="127" t="s">
        <v>497</v>
      </c>
      <c r="D231" s="127" t="s">
        <v>498</v>
      </c>
      <c r="E231" s="127" t="s">
        <v>509</v>
      </c>
      <c r="F231" s="127" t="s">
        <v>502</v>
      </c>
      <c r="G231" s="393">
        <v>1.58</v>
      </c>
      <c r="H231" s="393">
        <v>0.62</v>
      </c>
      <c r="I231" s="393">
        <v>0.12</v>
      </c>
      <c r="J231" s="393"/>
      <c r="K231" s="393">
        <v>2.09</v>
      </c>
      <c r="L231" s="393">
        <v>0.78</v>
      </c>
      <c r="M231" s="393">
        <v>0.44</v>
      </c>
      <c r="N231" s="393"/>
      <c r="O231" s="393">
        <v>0.74</v>
      </c>
      <c r="P231" s="393">
        <v>1</v>
      </c>
      <c r="Q231" s="393">
        <f>0.7+IF(d_AreaTreated&gt;10,-1.09,0)</f>
        <v>0.7</v>
      </c>
      <c r="R231" s="393"/>
      <c r="S231" s="393">
        <v>0.47</v>
      </c>
      <c r="T231" s="393">
        <v>1</v>
      </c>
      <c r="U231" s="393">
        <f>1.05+IF(d_AreaTreated&gt;10,-0.77,0)</f>
        <v>1.05</v>
      </c>
      <c r="V231" s="393"/>
    </row>
    <row r="232" spans="1:22">
      <c r="A232" s="59" t="str">
        <f t="shared" si="3"/>
        <v>OutdoorWettable granules, soluble granulesDownward sprayingVehicle-mountedProtected Body</v>
      </c>
      <c r="B232" s="127" t="s">
        <v>508</v>
      </c>
      <c r="C232" s="127" t="s">
        <v>500</v>
      </c>
      <c r="D232" s="127" t="s">
        <v>498</v>
      </c>
      <c r="E232" s="127" t="s">
        <v>509</v>
      </c>
      <c r="F232" s="127" t="s">
        <v>502</v>
      </c>
      <c r="G232" s="393">
        <v>1.58</v>
      </c>
      <c r="H232" s="393">
        <v>0.62</v>
      </c>
      <c r="I232" s="393"/>
      <c r="J232" s="393"/>
      <c r="K232" s="393">
        <v>2.09</v>
      </c>
      <c r="L232" s="393">
        <v>0.78</v>
      </c>
      <c r="M232" s="393"/>
      <c r="N232" s="393"/>
      <c r="O232" s="393">
        <v>0.74</v>
      </c>
      <c r="P232" s="393">
        <v>1</v>
      </c>
      <c r="Q232" s="393">
        <f>0.7+IF(d_AreaTreated&gt;10,-1.09,0)</f>
        <v>0.7</v>
      </c>
      <c r="R232" s="393"/>
      <c r="S232" s="393">
        <v>0.47</v>
      </c>
      <c r="T232" s="393">
        <v>1</v>
      </c>
      <c r="U232" s="393">
        <f>1.05+IF(d_AreaTreated&gt;10,-0.77,0)</f>
        <v>1.05</v>
      </c>
      <c r="V232" s="393"/>
    </row>
    <row r="233" spans="1:22">
      <c r="A233" s="59" t="str">
        <f t="shared" si="3"/>
        <v>OutdoorWettable powder, soluble powderDownward sprayingVehicle-mountedProtected Body</v>
      </c>
      <c r="B233" s="127" t="s">
        <v>508</v>
      </c>
      <c r="C233" s="127" t="s">
        <v>501</v>
      </c>
      <c r="D233" s="127" t="s">
        <v>498</v>
      </c>
      <c r="E233" s="127" t="s">
        <v>509</v>
      </c>
      <c r="F233" s="127" t="s">
        <v>502</v>
      </c>
      <c r="G233" s="393">
        <v>1.58</v>
      </c>
      <c r="H233" s="393">
        <v>0.62</v>
      </c>
      <c r="I233" s="393">
        <v>1.84</v>
      </c>
      <c r="J233" s="393"/>
      <c r="K233" s="393">
        <v>2.09</v>
      </c>
      <c r="L233" s="393">
        <v>0.78</v>
      </c>
      <c r="M233" s="393">
        <v>1.58</v>
      </c>
      <c r="N233" s="393"/>
      <c r="O233" s="393">
        <v>0.74</v>
      </c>
      <c r="P233" s="393">
        <v>1</v>
      </c>
      <c r="Q233" s="393">
        <f>0.7+IF(d_AreaTreated&gt;10,-1.09,0)</f>
        <v>0.7</v>
      </c>
      <c r="R233" s="393"/>
      <c r="S233" s="393">
        <v>0.47</v>
      </c>
      <c r="T233" s="393">
        <v>1</v>
      </c>
      <c r="U233" s="393">
        <f>1.05+IF(d_AreaTreated&gt;10,-0.77,0)</f>
        <v>1.05</v>
      </c>
      <c r="V233" s="393"/>
    </row>
    <row r="234" spans="1:22">
      <c r="A234" s="59" t="str">
        <f t="shared" si="3"/>
        <v>OutdoorSoluble concentrates, emulsifiable concentrate, etc.Downward sprayingVehicle-mountedProtected Hands</v>
      </c>
      <c r="B234" s="127" t="s">
        <v>508</v>
      </c>
      <c r="C234" s="127" t="s">
        <v>497</v>
      </c>
      <c r="D234" s="127" t="s">
        <v>498</v>
      </c>
      <c r="E234" s="127" t="s">
        <v>509</v>
      </c>
      <c r="F234" s="127" t="s">
        <v>503</v>
      </c>
      <c r="G234" s="393">
        <v>1.46</v>
      </c>
      <c r="H234" s="393">
        <v>0.46</v>
      </c>
      <c r="I234" s="393">
        <v>0.32</v>
      </c>
      <c r="J234" s="393"/>
      <c r="K234" s="393">
        <v>2.29</v>
      </c>
      <c r="L234" s="393">
        <v>0.53</v>
      </c>
      <c r="M234" s="393">
        <v>0.83</v>
      </c>
      <c r="N234" s="393"/>
      <c r="O234" s="393">
        <v>0.23</v>
      </c>
      <c r="P234" s="393">
        <v>0.54</v>
      </c>
      <c r="Q234" s="393">
        <f>1.11+IF(d_AreaTreated&gt;10,0.29,0)</f>
        <v>1.1100000000000001</v>
      </c>
      <c r="R234" s="393"/>
      <c r="S234" s="393">
        <v>-0.46</v>
      </c>
      <c r="T234" s="393">
        <v>0.12</v>
      </c>
      <c r="U234" s="393">
        <f>1.79+IF(d_AreaTreated&gt;10,2.19,0)</f>
        <v>1.79</v>
      </c>
      <c r="V234" s="393"/>
    </row>
    <row r="235" spans="1:22">
      <c r="A235" s="59" t="str">
        <f t="shared" si="3"/>
        <v>OutdoorWettable granules, soluble granulesDownward sprayingVehicle-mountedProtected Hands</v>
      </c>
      <c r="B235" s="127" t="s">
        <v>508</v>
      </c>
      <c r="C235" s="127" t="s">
        <v>500</v>
      </c>
      <c r="D235" s="127" t="s">
        <v>498</v>
      </c>
      <c r="E235" s="127" t="s">
        <v>509</v>
      </c>
      <c r="F235" s="127" t="s">
        <v>503</v>
      </c>
      <c r="G235" s="393">
        <v>1.46</v>
      </c>
      <c r="H235" s="393">
        <v>0.46</v>
      </c>
      <c r="I235" s="393"/>
      <c r="J235" s="393"/>
      <c r="K235" s="393">
        <v>2.29</v>
      </c>
      <c r="L235" s="393">
        <v>0.53</v>
      </c>
      <c r="M235" s="393"/>
      <c r="N235" s="393"/>
      <c r="O235" s="393">
        <v>0.23</v>
      </c>
      <c r="P235" s="393">
        <v>0.54</v>
      </c>
      <c r="Q235" s="393">
        <f>1.11+IF(d_AreaTreated&gt;10,0.29,0)</f>
        <v>1.1100000000000001</v>
      </c>
      <c r="R235" s="393"/>
      <c r="S235" s="393">
        <v>-0.46</v>
      </c>
      <c r="T235" s="393">
        <v>0.12</v>
      </c>
      <c r="U235" s="393">
        <f>1.79+IF(d_AreaTreated&gt;10,2.19,0)</f>
        <v>1.79</v>
      </c>
      <c r="V235" s="393"/>
    </row>
    <row r="236" spans="1:22">
      <c r="A236" s="59" t="str">
        <f t="shared" si="3"/>
        <v>OutdoorWettable powder, soluble powderDownward sprayingVehicle-mountedProtected Hands</v>
      </c>
      <c r="B236" s="127" t="s">
        <v>508</v>
      </c>
      <c r="C236" s="127" t="s">
        <v>501</v>
      </c>
      <c r="D236" s="127" t="s">
        <v>498</v>
      </c>
      <c r="E236" s="127" t="s">
        <v>509</v>
      </c>
      <c r="F236" s="127" t="s">
        <v>503</v>
      </c>
      <c r="G236" s="393">
        <v>1.46</v>
      </c>
      <c r="H236" s="393">
        <v>0.46</v>
      </c>
      <c r="I236" s="393">
        <v>1.66</v>
      </c>
      <c r="J236" s="393"/>
      <c r="K236" s="393">
        <v>2.29</v>
      </c>
      <c r="L236" s="393">
        <v>0.53</v>
      </c>
      <c r="M236" s="393">
        <v>1.39</v>
      </c>
      <c r="N236" s="393"/>
      <c r="O236" s="393">
        <v>0.23</v>
      </c>
      <c r="P236" s="393">
        <v>0.54</v>
      </c>
      <c r="Q236" s="393">
        <f>1.11+IF(d_AreaTreated&gt;10,0.29,0)</f>
        <v>1.1100000000000001</v>
      </c>
      <c r="R236" s="393"/>
      <c r="S236" s="393">
        <v>-0.46</v>
      </c>
      <c r="T236" s="393">
        <v>0.12</v>
      </c>
      <c r="U236" s="393">
        <f>1.79+IF(d_AreaTreated&gt;10,2.19,0)</f>
        <v>1.79</v>
      </c>
      <c r="V236" s="393"/>
    </row>
    <row r="237" spans="1:22">
      <c r="A237" s="59" t="str">
        <f t="shared" si="3"/>
        <v>OutdoorSoluble concentrates, emulsifiable concentrate, etc.Downward sprayingVehicle-mounted-Drift ReductionBody</v>
      </c>
      <c r="B237" s="127" t="s">
        <v>508</v>
      </c>
      <c r="C237" s="127" t="s">
        <v>497</v>
      </c>
      <c r="D237" s="127" t="s">
        <v>498</v>
      </c>
      <c r="E237" s="127" t="s">
        <v>510</v>
      </c>
      <c r="F237" s="127" t="s">
        <v>420</v>
      </c>
      <c r="G237" s="393">
        <v>3.04</v>
      </c>
      <c r="H237" s="393">
        <v>0.74</v>
      </c>
      <c r="I237" s="393">
        <v>0.52</v>
      </c>
      <c r="J237" s="393"/>
      <c r="K237" s="393">
        <v>3.87</v>
      </c>
      <c r="L237" s="393">
        <v>0.69</v>
      </c>
      <c r="M237" s="393">
        <v>0.72</v>
      </c>
      <c r="N237" s="393"/>
      <c r="O237" s="393">
        <v>2.54</v>
      </c>
      <c r="P237" s="393">
        <v>1</v>
      </c>
      <c r="Q237" s="393">
        <f>IF(d_AreaTreated&gt;10,-1.43,0)</f>
        <v>0</v>
      </c>
      <c r="R237" s="393"/>
      <c r="S237" s="393">
        <v>1.94</v>
      </c>
      <c r="T237" s="393">
        <v>1</v>
      </c>
      <c r="U237" s="393">
        <f>IF(d_AreaTreated&gt;10,-0.82,0)</f>
        <v>0</v>
      </c>
      <c r="V237" s="393"/>
    </row>
    <row r="238" spans="1:22" s="59" customFormat="1">
      <c r="A238" s="129" t="str">
        <f t="shared" si="3"/>
        <v>OutdoorWettable granules, soluble granulesDownward sprayingVehicle-mounted-Drift ReductionBody</v>
      </c>
      <c r="B238" s="127" t="s">
        <v>508</v>
      </c>
      <c r="C238" s="127" t="s">
        <v>500</v>
      </c>
      <c r="D238" s="127" t="s">
        <v>498</v>
      </c>
      <c r="E238" s="127" t="s">
        <v>510</v>
      </c>
      <c r="F238" s="127" t="s">
        <v>420</v>
      </c>
      <c r="G238" s="393">
        <v>3.04</v>
      </c>
      <c r="H238" s="393">
        <v>0.74</v>
      </c>
      <c r="I238" s="393"/>
      <c r="J238" s="393"/>
      <c r="K238" s="393">
        <v>3.87</v>
      </c>
      <c r="L238" s="393">
        <v>0.69</v>
      </c>
      <c r="M238" s="393"/>
      <c r="N238" s="393"/>
      <c r="O238" s="393">
        <v>2.54</v>
      </c>
      <c r="P238" s="393">
        <v>1</v>
      </c>
      <c r="Q238" s="393">
        <f>IF(d_AreaTreated&gt;10,-1.43,0)</f>
        <v>0</v>
      </c>
      <c r="R238" s="393"/>
      <c r="S238" s="393">
        <v>1.94</v>
      </c>
      <c r="T238" s="393">
        <v>1</v>
      </c>
      <c r="U238" s="393">
        <f>IF(d_AreaTreated&gt;10,-0.82,0)</f>
        <v>0</v>
      </c>
      <c r="V238" s="393"/>
    </row>
    <row r="239" spans="1:22" s="59" customFormat="1">
      <c r="A239" s="130" t="str">
        <f t="shared" si="3"/>
        <v>OutdoorWettable powder, soluble powderDownward sprayingVehicle-mounted-Drift ReductionBody</v>
      </c>
      <c r="B239" s="127" t="s">
        <v>508</v>
      </c>
      <c r="C239" s="127" t="s">
        <v>501</v>
      </c>
      <c r="D239" s="127" t="s">
        <v>498</v>
      </c>
      <c r="E239" s="127" t="s">
        <v>510</v>
      </c>
      <c r="F239" s="127" t="s">
        <v>420</v>
      </c>
      <c r="G239" s="393">
        <v>3.04</v>
      </c>
      <c r="H239" s="393">
        <v>0.74</v>
      </c>
      <c r="I239" s="393">
        <v>1.85</v>
      </c>
      <c r="J239" s="393"/>
      <c r="K239" s="393">
        <v>3.87</v>
      </c>
      <c r="L239" s="393">
        <v>0.69</v>
      </c>
      <c r="M239" s="393">
        <v>1.29</v>
      </c>
      <c r="N239" s="393"/>
      <c r="O239" s="393">
        <v>2.54</v>
      </c>
      <c r="P239" s="393">
        <v>1</v>
      </c>
      <c r="Q239" s="393">
        <f>IF(d_AreaTreated&gt;10,-1.43,0)</f>
        <v>0</v>
      </c>
      <c r="R239" s="393"/>
      <c r="S239" s="393">
        <v>1.94</v>
      </c>
      <c r="T239" s="393">
        <v>1</v>
      </c>
      <c r="U239" s="393">
        <f>IF(d_AreaTreated&gt;10,-0.82,0)</f>
        <v>0</v>
      </c>
      <c r="V239" s="393"/>
    </row>
    <row r="240" spans="1:22" s="59" customFormat="1">
      <c r="A240" s="130" t="str">
        <f t="shared" si="3"/>
        <v>OutdoorSoluble concentrates, emulsifiable concentrate, etc.Downward sprayingVehicle-mounted-Drift ReductionHands</v>
      </c>
      <c r="B240" s="127" t="s">
        <v>508</v>
      </c>
      <c r="C240" s="127" t="s">
        <v>497</v>
      </c>
      <c r="D240" s="127" t="s">
        <v>498</v>
      </c>
      <c r="E240" s="127" t="s">
        <v>510</v>
      </c>
      <c r="F240" s="127" t="s">
        <v>418</v>
      </c>
      <c r="G240" s="393">
        <v>3.27</v>
      </c>
      <c r="H240" s="393">
        <v>0.64</v>
      </c>
      <c r="I240" s="393">
        <v>0.64</v>
      </c>
      <c r="J240" s="393"/>
      <c r="K240" s="393">
        <v>3.74</v>
      </c>
      <c r="L240" s="393">
        <v>0.69</v>
      </c>
      <c r="M240" s="393">
        <v>0.71</v>
      </c>
      <c r="N240" s="393"/>
      <c r="O240" s="393">
        <v>2.84</v>
      </c>
      <c r="P240" s="393">
        <v>1</v>
      </c>
      <c r="Q240" s="393">
        <f>IF(d_AreaTreated&gt;10,-1.04,0)</f>
        <v>0</v>
      </c>
      <c r="R240" s="393"/>
      <c r="S240" s="393">
        <v>2.96</v>
      </c>
      <c r="T240" s="393">
        <v>0.73</v>
      </c>
      <c r="U240" s="393">
        <f>IF(d_AreaTreated&gt;10,-0.21,0)</f>
        <v>0</v>
      </c>
      <c r="V240" s="393"/>
    </row>
    <row r="241" spans="1:22" s="59" customFormat="1">
      <c r="A241" s="130" t="str">
        <f t="shared" si="3"/>
        <v>OutdoorWettable granules, soluble granulesDownward sprayingVehicle-mounted-Drift ReductionHands</v>
      </c>
      <c r="B241" s="127" t="s">
        <v>508</v>
      </c>
      <c r="C241" s="127" t="s">
        <v>500</v>
      </c>
      <c r="D241" s="127" t="s">
        <v>498</v>
      </c>
      <c r="E241" s="127" t="s">
        <v>510</v>
      </c>
      <c r="F241" s="127" t="s">
        <v>418</v>
      </c>
      <c r="G241" s="393">
        <v>3.27</v>
      </c>
      <c r="H241" s="393">
        <v>0.64</v>
      </c>
      <c r="I241" s="393">
        <v>0</v>
      </c>
      <c r="J241" s="393"/>
      <c r="K241" s="393">
        <v>3.74</v>
      </c>
      <c r="L241" s="393">
        <v>0.69</v>
      </c>
      <c r="M241" s="393">
        <v>0</v>
      </c>
      <c r="N241" s="393"/>
      <c r="O241" s="393">
        <v>2.84</v>
      </c>
      <c r="P241" s="393">
        <v>1</v>
      </c>
      <c r="Q241" s="393">
        <f>IF(d_AreaTreated&gt;10,-1.04,0)</f>
        <v>0</v>
      </c>
      <c r="R241" s="393"/>
      <c r="S241" s="393">
        <v>2.96</v>
      </c>
      <c r="T241" s="393">
        <v>0.73</v>
      </c>
      <c r="U241" s="393">
        <f>IF(d_AreaTreated&gt;10,-0.21,0)</f>
        <v>0</v>
      </c>
      <c r="V241" s="393"/>
    </row>
    <row r="242" spans="1:22" s="59" customFormat="1">
      <c r="A242" s="130" t="str">
        <f t="shared" si="3"/>
        <v>OutdoorWettable powder, soluble powderDownward sprayingVehicle-mounted-Drift ReductionHands</v>
      </c>
      <c r="B242" s="127" t="s">
        <v>508</v>
      </c>
      <c r="C242" s="127" t="s">
        <v>501</v>
      </c>
      <c r="D242" s="127" t="s">
        <v>498</v>
      </c>
      <c r="E242" s="127" t="s">
        <v>510</v>
      </c>
      <c r="F242" s="127" t="s">
        <v>418</v>
      </c>
      <c r="G242" s="393">
        <v>3.27</v>
      </c>
      <c r="H242" s="393">
        <v>0.64</v>
      </c>
      <c r="I242" s="393">
        <v>1.28</v>
      </c>
      <c r="J242" s="393"/>
      <c r="K242" s="393">
        <v>3.74</v>
      </c>
      <c r="L242" s="393">
        <v>0.69</v>
      </c>
      <c r="M242" s="393">
        <v>1.21</v>
      </c>
      <c r="N242" s="393"/>
      <c r="O242" s="393">
        <v>2.84</v>
      </c>
      <c r="P242" s="393">
        <v>1</v>
      </c>
      <c r="Q242" s="393">
        <f>IF(d_AreaTreated&gt;10,-1.04,0)</f>
        <v>0</v>
      </c>
      <c r="R242" s="393"/>
      <c r="S242" s="393">
        <v>2.96</v>
      </c>
      <c r="T242" s="393">
        <v>0.73</v>
      </c>
      <c r="U242" s="393">
        <f>IF(d_AreaTreated&gt;10,-0.21,0)</f>
        <v>0</v>
      </c>
      <c r="V242" s="393"/>
    </row>
    <row r="243" spans="1:22" s="59" customFormat="1">
      <c r="A243" s="130" t="str">
        <f t="shared" si="3"/>
        <v>OutdoorSoluble concentrates, emulsifiable concentrate, etc.Downward sprayingVehicle-mounted-Drift ReductionHead</v>
      </c>
      <c r="B243" s="127" t="s">
        <v>508</v>
      </c>
      <c r="C243" s="127" t="s">
        <v>497</v>
      </c>
      <c r="D243" s="127" t="s">
        <v>498</v>
      </c>
      <c r="E243" s="127" t="s">
        <v>510</v>
      </c>
      <c r="F243" s="127" t="s">
        <v>104</v>
      </c>
      <c r="G243" s="393">
        <v>1.46</v>
      </c>
      <c r="H243" s="393">
        <v>1</v>
      </c>
      <c r="I243" s="393">
        <f>0.34</f>
        <v>0.34</v>
      </c>
      <c r="J243" s="393"/>
      <c r="K243" s="393">
        <v>2.19</v>
      </c>
      <c r="L243" s="393">
        <v>1</v>
      </c>
      <c r="M243" s="393">
        <v>0.39</v>
      </c>
      <c r="N243" s="393"/>
      <c r="O243" s="393">
        <v>0.24</v>
      </c>
      <c r="P243" s="393">
        <v>1</v>
      </c>
      <c r="Q243" s="393">
        <f>IF(d_AreaTreated&gt;10,-0.53,0)</f>
        <v>0</v>
      </c>
      <c r="R243" s="393"/>
      <c r="S243" s="393">
        <v>1.1599999999999999</v>
      </c>
      <c r="T243" s="393">
        <v>1</v>
      </c>
      <c r="U243" s="393">
        <f>IF(d_AreaTreated&gt;10,-1.12,0)</f>
        <v>0</v>
      </c>
      <c r="V243" s="393"/>
    </row>
    <row r="244" spans="1:22" s="59" customFormat="1">
      <c r="A244" s="130" t="str">
        <f t="shared" si="3"/>
        <v>OutdoorWettable granules, soluble granulesDownward sprayingVehicle-mounted-Drift ReductionHead</v>
      </c>
      <c r="B244" s="127" t="s">
        <v>508</v>
      </c>
      <c r="C244" s="127" t="s">
        <v>500</v>
      </c>
      <c r="D244" s="127" t="s">
        <v>498</v>
      </c>
      <c r="E244" s="127" t="s">
        <v>510</v>
      </c>
      <c r="F244" s="127" t="s">
        <v>104</v>
      </c>
      <c r="G244" s="393">
        <v>1.46</v>
      </c>
      <c r="H244" s="393">
        <v>1</v>
      </c>
      <c r="I244" s="393">
        <v>0</v>
      </c>
      <c r="J244" s="393"/>
      <c r="K244" s="393">
        <v>2.19</v>
      </c>
      <c r="L244" s="393">
        <v>1</v>
      </c>
      <c r="M244" s="393">
        <v>0</v>
      </c>
      <c r="N244" s="393"/>
      <c r="O244" s="393">
        <v>0.24</v>
      </c>
      <c r="P244" s="393">
        <v>1</v>
      </c>
      <c r="Q244" s="393">
        <f>IF(d_AreaTreated&gt;10,-0.53,0)</f>
        <v>0</v>
      </c>
      <c r="R244" s="393"/>
      <c r="S244" s="393">
        <v>1.1599999999999999</v>
      </c>
      <c r="T244" s="393">
        <v>1</v>
      </c>
      <c r="U244" s="393">
        <f>IF(d_AreaTreated&gt;10,-1.12,0)</f>
        <v>0</v>
      </c>
      <c r="V244" s="393"/>
    </row>
    <row r="245" spans="1:22" s="59" customFormat="1">
      <c r="A245" s="130" t="str">
        <f t="shared" si="3"/>
        <v>OutdoorSoluble concentrates, emulsifiable concentrate, etc.Downward sprayingVehicle-mounted-Drift ReductionInhalation</v>
      </c>
      <c r="B245" s="127" t="s">
        <v>508</v>
      </c>
      <c r="C245" s="127" t="s">
        <v>497</v>
      </c>
      <c r="D245" s="127" t="s">
        <v>498</v>
      </c>
      <c r="E245" s="127" t="s">
        <v>510</v>
      </c>
      <c r="F245" s="127" t="s">
        <v>109</v>
      </c>
      <c r="G245" s="393">
        <v>1.38</v>
      </c>
      <c r="H245" s="393">
        <v>0.38</v>
      </c>
      <c r="I245" s="393">
        <v>-0.87</v>
      </c>
      <c r="J245" s="393"/>
      <c r="K245" s="393">
        <v>1.81</v>
      </c>
      <c r="L245" s="393">
        <v>0.49</v>
      </c>
      <c r="M245" s="393">
        <v>-0.92</v>
      </c>
      <c r="N245" s="393"/>
      <c r="O245" s="393">
        <v>0.72</v>
      </c>
      <c r="P245" s="393">
        <v>0.5</v>
      </c>
      <c r="Q245" s="393">
        <f>IF(d_AreaTreated&gt;10,-0.71,0)</f>
        <v>0</v>
      </c>
      <c r="R245" s="393"/>
      <c r="S245" s="393">
        <v>1.27</v>
      </c>
      <c r="T245" s="393">
        <v>0.57999999999999996</v>
      </c>
      <c r="U245" s="393">
        <f>IF(d_AreaTreated&gt;10,-1.14,0)</f>
        <v>0</v>
      </c>
      <c r="V245" s="393"/>
    </row>
    <row r="246" spans="1:22" s="59" customFormat="1">
      <c r="A246" s="130" t="str">
        <f t="shared" si="3"/>
        <v>OutdoorWettable granules, soluble granulesDownward sprayingVehicle-mounted-Drift ReductionInhalation</v>
      </c>
      <c r="B246" s="127" t="s">
        <v>508</v>
      </c>
      <c r="C246" s="127" t="s">
        <v>500</v>
      </c>
      <c r="D246" s="127" t="s">
        <v>498</v>
      </c>
      <c r="E246" s="127" t="s">
        <v>510</v>
      </c>
      <c r="F246" s="127" t="s">
        <v>109</v>
      </c>
      <c r="G246" s="393">
        <v>1.38</v>
      </c>
      <c r="H246" s="393">
        <v>0.38</v>
      </c>
      <c r="I246" s="393"/>
      <c r="J246" s="393"/>
      <c r="K246" s="393">
        <v>1.81</v>
      </c>
      <c r="L246" s="393">
        <v>0.49</v>
      </c>
      <c r="M246" s="393"/>
      <c r="N246" s="393"/>
      <c r="O246" s="393">
        <v>0.72</v>
      </c>
      <c r="P246" s="393">
        <v>0.5</v>
      </c>
      <c r="Q246" s="393">
        <f>IF(d_AreaTreated&gt;10,-0.71,0)</f>
        <v>0</v>
      </c>
      <c r="R246" s="393"/>
      <c r="S246" s="393">
        <v>1.27</v>
      </c>
      <c r="T246" s="393">
        <v>0.57999999999999996</v>
      </c>
      <c r="U246" s="393">
        <f>IF(d_AreaTreated&gt;10,-1.14,0)</f>
        <v>0</v>
      </c>
      <c r="V246" s="393"/>
    </row>
    <row r="247" spans="1:22" s="59" customFormat="1">
      <c r="A247" s="130" t="str">
        <f t="shared" si="3"/>
        <v>OutdoorWettable powder, soluble powderDownward sprayingVehicle-mounted-Drift ReductionInhalation</v>
      </c>
      <c r="B247" s="127" t="s">
        <v>508</v>
      </c>
      <c r="C247" s="127" t="s">
        <v>501</v>
      </c>
      <c r="D247" s="127" t="s">
        <v>498</v>
      </c>
      <c r="E247" s="127" t="s">
        <v>510</v>
      </c>
      <c r="F247" s="127" t="s">
        <v>109</v>
      </c>
      <c r="G247" s="393">
        <v>1.38</v>
      </c>
      <c r="H247" s="393">
        <v>0.38</v>
      </c>
      <c r="I247" s="393">
        <v>1.96</v>
      </c>
      <c r="J247" s="393"/>
      <c r="K247" s="393">
        <v>1.81</v>
      </c>
      <c r="L247" s="393">
        <v>0.49</v>
      </c>
      <c r="M247" s="393">
        <v>1.54</v>
      </c>
      <c r="N247" s="393"/>
      <c r="O247" s="393">
        <v>0.72</v>
      </c>
      <c r="P247" s="393">
        <v>0.5</v>
      </c>
      <c r="Q247" s="393">
        <f>IF(d_AreaTreated&gt;10,-0.71,0)</f>
        <v>0</v>
      </c>
      <c r="R247" s="393"/>
      <c r="S247" s="393">
        <v>1.27</v>
      </c>
      <c r="T247" s="393">
        <v>0.57999999999999996</v>
      </c>
      <c r="U247" s="393">
        <f>IF(d_AreaTreated&gt;10,-1.14,0)</f>
        <v>0</v>
      </c>
      <c r="V247" s="393"/>
    </row>
    <row r="248" spans="1:22" s="59" customFormat="1">
      <c r="A248" s="130" t="str">
        <f t="shared" si="3"/>
        <v>OutdoorWettable powder, soluble powderDownward sprayingVehicle-mounted-Drift ReductionHead</v>
      </c>
      <c r="B248" s="127" t="s">
        <v>508</v>
      </c>
      <c r="C248" s="127" t="s">
        <v>501</v>
      </c>
      <c r="D248" s="127" t="s">
        <v>498</v>
      </c>
      <c r="E248" s="127" t="s">
        <v>510</v>
      </c>
      <c r="F248" s="127" t="s">
        <v>104</v>
      </c>
      <c r="G248" s="393">
        <v>1.46</v>
      </c>
      <c r="H248" s="393">
        <v>1</v>
      </c>
      <c r="I248" s="393">
        <v>0.7</v>
      </c>
      <c r="J248" s="393"/>
      <c r="K248" s="393">
        <v>2.19</v>
      </c>
      <c r="L248" s="393">
        <v>1</v>
      </c>
      <c r="M248" s="393">
        <v>0.11</v>
      </c>
      <c r="N248" s="393"/>
      <c r="O248" s="393">
        <v>0.24</v>
      </c>
      <c r="P248" s="393">
        <v>1</v>
      </c>
      <c r="Q248" s="393">
        <f>IF(d_AreaTreated&gt;10,-0.53,0)</f>
        <v>0</v>
      </c>
      <c r="R248" s="393"/>
      <c r="S248" s="393">
        <v>1.1599999999999999</v>
      </c>
      <c r="T248" s="393">
        <v>1</v>
      </c>
      <c r="U248" s="393">
        <f>IF(d_AreaTreated&gt;10,-1.12,0)</f>
        <v>0</v>
      </c>
      <c r="V248" s="393"/>
    </row>
    <row r="249" spans="1:22" s="59" customFormat="1">
      <c r="A249" s="130" t="str">
        <f t="shared" si="3"/>
        <v>OutdoorSoluble concentrates, emulsifiable concentrate, etc.Downward sprayingVehicle-mounted-Drift ReductionProtected Body</v>
      </c>
      <c r="B249" s="127" t="s">
        <v>508</v>
      </c>
      <c r="C249" s="127" t="s">
        <v>497</v>
      </c>
      <c r="D249" s="127" t="s">
        <v>498</v>
      </c>
      <c r="E249" s="127" t="s">
        <v>510</v>
      </c>
      <c r="F249" s="127" t="s">
        <v>502</v>
      </c>
      <c r="G249" s="393">
        <v>1.58</v>
      </c>
      <c r="H249" s="393">
        <v>0.62</v>
      </c>
      <c r="I249" s="393">
        <v>0.12</v>
      </c>
      <c r="J249" s="393"/>
      <c r="K249" s="393">
        <v>2.09</v>
      </c>
      <c r="L249" s="393">
        <v>0.78</v>
      </c>
      <c r="M249" s="393">
        <v>0.44</v>
      </c>
      <c r="N249" s="393"/>
      <c r="O249" s="393">
        <v>0.74</v>
      </c>
      <c r="P249" s="393">
        <v>1</v>
      </c>
      <c r="Q249" s="393">
        <f>IF(d_AreaTreated&gt;10,-1.09,0)</f>
        <v>0</v>
      </c>
      <c r="R249" s="393"/>
      <c r="S249" s="393">
        <v>0.47</v>
      </c>
      <c r="T249" s="393">
        <v>1</v>
      </c>
      <c r="U249" s="393">
        <f>IF(d_AreaTreated&gt;10,-0.77,0)</f>
        <v>0</v>
      </c>
      <c r="V249" s="393"/>
    </row>
    <row r="250" spans="1:22" s="59" customFormat="1">
      <c r="A250" s="130" t="str">
        <f t="shared" si="3"/>
        <v>OutdoorWettable granules, soluble granulesDownward sprayingVehicle-mounted-Drift ReductionProtected Body</v>
      </c>
      <c r="B250" s="127" t="s">
        <v>508</v>
      </c>
      <c r="C250" s="127" t="s">
        <v>500</v>
      </c>
      <c r="D250" s="127" t="s">
        <v>498</v>
      </c>
      <c r="E250" s="127" t="s">
        <v>510</v>
      </c>
      <c r="F250" s="127" t="s">
        <v>502</v>
      </c>
      <c r="G250" s="393">
        <v>1.58</v>
      </c>
      <c r="H250" s="393">
        <v>0.62</v>
      </c>
      <c r="I250" s="393"/>
      <c r="J250" s="393"/>
      <c r="K250" s="393">
        <v>2.09</v>
      </c>
      <c r="L250" s="393">
        <v>0.78</v>
      </c>
      <c r="M250" s="393"/>
      <c r="N250" s="393"/>
      <c r="O250" s="393">
        <v>0.74</v>
      </c>
      <c r="P250" s="393">
        <v>1</v>
      </c>
      <c r="Q250" s="393">
        <f>IF(d_AreaTreated&gt;10,-1.09,0)</f>
        <v>0</v>
      </c>
      <c r="R250" s="393"/>
      <c r="S250" s="393">
        <v>0.47</v>
      </c>
      <c r="T250" s="393">
        <v>1</v>
      </c>
      <c r="U250" s="393">
        <f>IF(d_AreaTreated&gt;10,-0.77,0)</f>
        <v>0</v>
      </c>
      <c r="V250" s="393"/>
    </row>
    <row r="251" spans="1:22" s="59" customFormat="1">
      <c r="A251" s="129" t="str">
        <f t="shared" si="3"/>
        <v>OutdoorWettable powder, soluble powderDownward sprayingVehicle-mounted-Drift ReductionProtected Body</v>
      </c>
      <c r="B251" s="127" t="s">
        <v>508</v>
      </c>
      <c r="C251" s="127" t="s">
        <v>501</v>
      </c>
      <c r="D251" s="127" t="s">
        <v>498</v>
      </c>
      <c r="E251" s="127" t="s">
        <v>510</v>
      </c>
      <c r="F251" s="127" t="s">
        <v>502</v>
      </c>
      <c r="G251" s="393">
        <v>1.58</v>
      </c>
      <c r="H251" s="393">
        <v>0.62</v>
      </c>
      <c r="I251" s="393">
        <v>1.84</v>
      </c>
      <c r="J251" s="393"/>
      <c r="K251" s="393">
        <v>2.09</v>
      </c>
      <c r="L251" s="393">
        <v>0.78</v>
      </c>
      <c r="M251" s="393">
        <v>1.58</v>
      </c>
      <c r="N251" s="393"/>
      <c r="O251" s="393">
        <v>0.74</v>
      </c>
      <c r="P251" s="393">
        <v>1</v>
      </c>
      <c r="Q251" s="393">
        <f>IF(d_AreaTreated&gt;10,-1.09,0)</f>
        <v>0</v>
      </c>
      <c r="R251" s="393"/>
      <c r="S251" s="393">
        <v>0.47</v>
      </c>
      <c r="T251" s="393">
        <v>1</v>
      </c>
      <c r="U251" s="393">
        <f>IF(d_AreaTreated&gt;10,-0.77,0)</f>
        <v>0</v>
      </c>
      <c r="V251" s="393"/>
    </row>
    <row r="252" spans="1:22" s="59" customFormat="1">
      <c r="A252" s="130" t="str">
        <f t="shared" si="3"/>
        <v>OutdoorSoluble concentrates, emulsifiable concentrate, etc.Downward sprayingVehicle-mounted-Drift ReductionProtected Hands</v>
      </c>
      <c r="B252" s="127" t="s">
        <v>508</v>
      </c>
      <c r="C252" s="127" t="s">
        <v>497</v>
      </c>
      <c r="D252" s="127" t="s">
        <v>498</v>
      </c>
      <c r="E252" s="127" t="s">
        <v>510</v>
      </c>
      <c r="F252" s="127" t="s">
        <v>503</v>
      </c>
      <c r="G252" s="393">
        <v>1.46</v>
      </c>
      <c r="H252" s="393">
        <v>0.46</v>
      </c>
      <c r="I252" s="393">
        <v>0.32</v>
      </c>
      <c r="J252" s="393"/>
      <c r="K252" s="393">
        <v>2.29</v>
      </c>
      <c r="L252" s="393">
        <v>0.53</v>
      </c>
      <c r="M252" s="393">
        <v>0.83</v>
      </c>
      <c r="N252" s="393"/>
      <c r="O252" s="393">
        <v>0.23</v>
      </c>
      <c r="P252" s="393">
        <v>0.54</v>
      </c>
      <c r="Q252" s="393">
        <f>IF(d_AreaTreated&gt;10,0.29,0)</f>
        <v>0</v>
      </c>
      <c r="R252" s="393"/>
      <c r="S252" s="393">
        <v>-0.46</v>
      </c>
      <c r="T252" s="393">
        <v>0.12</v>
      </c>
      <c r="U252" s="393">
        <f>IF(d_AreaTreated&gt;10,2.19,0)</f>
        <v>0</v>
      </c>
      <c r="V252" s="393"/>
    </row>
    <row r="253" spans="1:22" s="59" customFormat="1">
      <c r="A253" s="130" t="str">
        <f t="shared" si="3"/>
        <v>OutdoorWettable granules, soluble granulesDownward sprayingVehicle-mounted-Drift ReductionProtected Hands</v>
      </c>
      <c r="B253" s="127" t="s">
        <v>508</v>
      </c>
      <c r="C253" s="127" t="s">
        <v>500</v>
      </c>
      <c r="D253" s="127" t="s">
        <v>498</v>
      </c>
      <c r="E253" s="127" t="s">
        <v>510</v>
      </c>
      <c r="F253" s="127" t="s">
        <v>503</v>
      </c>
      <c r="G253" s="393">
        <v>1.46</v>
      </c>
      <c r="H253" s="393">
        <v>0.46</v>
      </c>
      <c r="I253" s="393"/>
      <c r="J253" s="393"/>
      <c r="K253" s="393">
        <v>2.29</v>
      </c>
      <c r="L253" s="393">
        <v>0.53</v>
      </c>
      <c r="M253" s="393"/>
      <c r="N253" s="393"/>
      <c r="O253" s="393">
        <v>0.23</v>
      </c>
      <c r="P253" s="393">
        <v>0.54</v>
      </c>
      <c r="Q253" s="393">
        <f>IF(d_AreaTreated&gt;10,0.29,0)</f>
        <v>0</v>
      </c>
      <c r="R253" s="393"/>
      <c r="S253" s="393">
        <v>-0.46</v>
      </c>
      <c r="T253" s="393">
        <v>0.12</v>
      </c>
      <c r="U253" s="393">
        <f>IF(d_AreaTreated&gt;10,2.19,0)</f>
        <v>0</v>
      </c>
      <c r="V253" s="393"/>
    </row>
    <row r="254" spans="1:22" s="59" customFormat="1">
      <c r="A254" s="130" t="str">
        <f t="shared" si="3"/>
        <v>OutdoorWettable powder, soluble powderDownward sprayingVehicle-mounted-Drift ReductionProtected Hands</v>
      </c>
      <c r="B254" s="127" t="s">
        <v>508</v>
      </c>
      <c r="C254" s="127" t="s">
        <v>501</v>
      </c>
      <c r="D254" s="127" t="s">
        <v>498</v>
      </c>
      <c r="E254" s="127" t="s">
        <v>510</v>
      </c>
      <c r="F254" s="127" t="s">
        <v>503</v>
      </c>
      <c r="G254" s="393">
        <v>1.46</v>
      </c>
      <c r="H254" s="393">
        <v>0.46</v>
      </c>
      <c r="I254" s="393">
        <v>1.66</v>
      </c>
      <c r="J254" s="393"/>
      <c r="K254" s="393">
        <v>2.29</v>
      </c>
      <c r="L254" s="393">
        <v>0.53</v>
      </c>
      <c r="M254" s="393">
        <v>1.39</v>
      </c>
      <c r="N254" s="393"/>
      <c r="O254" s="393">
        <v>0.23</v>
      </c>
      <c r="P254" s="393">
        <v>0.54</v>
      </c>
      <c r="Q254" s="393">
        <f>IF(d_AreaTreated&gt;10,0.29,0)</f>
        <v>0</v>
      </c>
      <c r="R254" s="393"/>
      <c r="S254" s="393">
        <v>-0.46</v>
      </c>
      <c r="T254" s="393">
        <v>0.12</v>
      </c>
      <c r="U254" s="393">
        <f>IF(d_AreaTreated&gt;10,2.19,0)</f>
        <v>0</v>
      </c>
      <c r="V254" s="393"/>
    </row>
    <row r="255" spans="1:22" s="59" customFormat="1">
      <c r="A255" s="129" t="str">
        <f t="shared" si="3"/>
        <v>OutdoorSoluble concentrates, emulsifiable concentrate, etc.Upward sprayingManual-Hand heldBody</v>
      </c>
      <c r="B255" s="127" t="s">
        <v>508</v>
      </c>
      <c r="C255" s="127" t="s">
        <v>497</v>
      </c>
      <c r="D255" s="127" t="s">
        <v>505</v>
      </c>
      <c r="E255" s="127" t="s">
        <v>499</v>
      </c>
      <c r="F255" s="127" t="s">
        <v>420</v>
      </c>
      <c r="G255" s="393">
        <v>3.04</v>
      </c>
      <c r="H255" s="393">
        <v>0.74</v>
      </c>
      <c r="I255" s="393">
        <v>0.52</v>
      </c>
      <c r="J255" s="393"/>
      <c r="K255" s="393">
        <v>3.87</v>
      </c>
      <c r="L255" s="393">
        <v>0.69</v>
      </c>
      <c r="M255" s="393">
        <v>0.72</v>
      </c>
      <c r="N255" s="393"/>
      <c r="O255" s="393">
        <v>6.08</v>
      </c>
      <c r="P255" s="393">
        <v>0.16</v>
      </c>
      <c r="Q255" s="393">
        <v>-1.29</v>
      </c>
      <c r="R255" s="393"/>
      <c r="S255" s="393">
        <v>6.34</v>
      </c>
      <c r="T255" s="393">
        <v>0.01</v>
      </c>
      <c r="U255" s="393">
        <v>-1.0900000000000001</v>
      </c>
      <c r="V255" s="393"/>
    </row>
    <row r="256" spans="1:22" s="59" customFormat="1">
      <c r="A256" s="130" t="str">
        <f t="shared" si="3"/>
        <v>OutdoorSoluble concentrates, emulsifiable concentrate, etc.Upward sprayingManual-Hand heldHands</v>
      </c>
      <c r="B256" s="127" t="s">
        <v>508</v>
      </c>
      <c r="C256" s="127" t="s">
        <v>497</v>
      </c>
      <c r="D256" s="127" t="s">
        <v>505</v>
      </c>
      <c r="E256" s="127" t="s">
        <v>499</v>
      </c>
      <c r="F256" s="127" t="s">
        <v>418</v>
      </c>
      <c r="G256" s="393">
        <v>3.27</v>
      </c>
      <c r="H256" s="393">
        <v>0.64</v>
      </c>
      <c r="I256" s="393">
        <v>0.64</v>
      </c>
      <c r="J256" s="393"/>
      <c r="K256" s="393">
        <v>3.74</v>
      </c>
      <c r="L256" s="393">
        <v>0.69</v>
      </c>
      <c r="M256" s="393">
        <v>0.71</v>
      </c>
      <c r="N256" s="393"/>
      <c r="O256" s="393">
        <v>4.26</v>
      </c>
      <c r="P256" s="393">
        <v>0.84</v>
      </c>
      <c r="Q256" s="393">
        <v>-0.83</v>
      </c>
      <c r="R256" s="393"/>
      <c r="S256" s="393">
        <v>4.41</v>
      </c>
      <c r="T256" s="393">
        <v>0.77</v>
      </c>
      <c r="U256" s="393">
        <v>-0.47</v>
      </c>
      <c r="V256" s="393"/>
    </row>
    <row r="257" spans="1:22" s="59" customFormat="1">
      <c r="A257" s="130" t="str">
        <f t="shared" si="3"/>
        <v>OutdoorSoluble concentrates, emulsifiable concentrate, etc.Upward sprayingManual-Hand heldHead</v>
      </c>
      <c r="B257" s="127" t="s">
        <v>508</v>
      </c>
      <c r="C257" s="127" t="s">
        <v>497</v>
      </c>
      <c r="D257" s="127" t="s">
        <v>505</v>
      </c>
      <c r="E257" s="127" t="s">
        <v>499</v>
      </c>
      <c r="F257" s="127" t="s">
        <v>104</v>
      </c>
      <c r="G257" s="393">
        <v>1.46</v>
      </c>
      <c r="H257" s="393">
        <v>1</v>
      </c>
      <c r="I257" s="393">
        <f>0.34</f>
        <v>0.34</v>
      </c>
      <c r="J257" s="393"/>
      <c r="K257" s="393">
        <v>2.19</v>
      </c>
      <c r="L257" s="393">
        <v>1</v>
      </c>
      <c r="M257" s="393">
        <v>0.39</v>
      </c>
      <c r="N257" s="393"/>
      <c r="O257" s="393">
        <v>3.27</v>
      </c>
      <c r="P257" s="393">
        <v>0.32</v>
      </c>
      <c r="Q257" s="393">
        <v>-1.0900000000000001</v>
      </c>
      <c r="R257" s="393"/>
      <c r="S257" s="393">
        <v>3.5</v>
      </c>
      <c r="T257" s="393">
        <v>0.33</v>
      </c>
      <c r="U257" s="393">
        <v>-0.59</v>
      </c>
      <c r="V257" s="393"/>
    </row>
    <row r="258" spans="1:22" s="59" customFormat="1">
      <c r="A258" s="130" t="str">
        <f t="shared" si="3"/>
        <v>OutdoorSoluble concentrates, emulsifiable concentrate, etc.Upward sprayingManual-Hand heldInhalation</v>
      </c>
      <c r="B258" s="127" t="s">
        <v>508</v>
      </c>
      <c r="C258" s="127" t="s">
        <v>497</v>
      </c>
      <c r="D258" s="127" t="s">
        <v>505</v>
      </c>
      <c r="E258" s="127" t="s">
        <v>499</v>
      </c>
      <c r="F258" s="127" t="s">
        <v>109</v>
      </c>
      <c r="G258" s="393">
        <v>1.38</v>
      </c>
      <c r="H258" s="393">
        <v>0.38</v>
      </c>
      <c r="I258" s="393">
        <v>-0.87</v>
      </c>
      <c r="J258" s="393"/>
      <c r="K258" s="393">
        <v>1.81</v>
      </c>
      <c r="L258" s="393">
        <v>0.49</v>
      </c>
      <c r="M258" s="393">
        <v>-0.92</v>
      </c>
      <c r="N258" s="393"/>
      <c r="O258" s="393">
        <v>2.17</v>
      </c>
      <c r="P258" s="393">
        <v>0.83</v>
      </c>
      <c r="Q258" s="393">
        <v>-0.26</v>
      </c>
      <c r="R258" s="393"/>
      <c r="S258" s="393">
        <v>2.52</v>
      </c>
      <c r="T258" s="393">
        <v>0.6</v>
      </c>
      <c r="U258" s="393">
        <v>-0.26</v>
      </c>
      <c r="V258" s="393"/>
    </row>
    <row r="259" spans="1:22" s="59" customFormat="1">
      <c r="A259" s="130" t="str">
        <f t="shared" ref="A259:A322" si="4">B259&amp;C259&amp;D259&amp;E259&amp;F259</f>
        <v>OutdoorSoluble concentrates, emulsifiable concentrate, etc.Upward sprayingManual-Hand heldProtected Body</v>
      </c>
      <c r="B259" s="127" t="s">
        <v>508</v>
      </c>
      <c r="C259" s="127" t="s">
        <v>497</v>
      </c>
      <c r="D259" s="127" t="s">
        <v>505</v>
      </c>
      <c r="E259" s="127" t="s">
        <v>499</v>
      </c>
      <c r="F259" s="127" t="s">
        <v>502</v>
      </c>
      <c r="G259" s="393">
        <v>1.58</v>
      </c>
      <c r="H259" s="393">
        <v>0.62</v>
      </c>
      <c r="I259" s="393">
        <v>0.12</v>
      </c>
      <c r="J259" s="393"/>
      <c r="K259" s="393">
        <v>2.09</v>
      </c>
      <c r="L259" s="393">
        <v>0.78</v>
      </c>
      <c r="M259" s="393">
        <v>0.44</v>
      </c>
      <c r="N259" s="393"/>
      <c r="O259" s="393">
        <v>4.6500000000000004</v>
      </c>
      <c r="P259" s="393"/>
      <c r="Q259" s="393">
        <v>-1.64</v>
      </c>
      <c r="R259" s="393"/>
      <c r="S259" s="393">
        <v>5.27</v>
      </c>
      <c r="T259" s="393"/>
      <c r="U259" s="393">
        <v>-1.99</v>
      </c>
      <c r="V259" s="393"/>
    </row>
    <row r="260" spans="1:22" s="59" customFormat="1">
      <c r="A260" s="130" t="str">
        <f t="shared" si="4"/>
        <v>OutdoorSoluble concentrates, emulsifiable concentrate, etc.Upward sprayingManual-Hand heldProtected Hands</v>
      </c>
      <c r="B260" s="127" t="s">
        <v>508</v>
      </c>
      <c r="C260" s="127" t="s">
        <v>497</v>
      </c>
      <c r="D260" s="127" t="s">
        <v>505</v>
      </c>
      <c r="E260" s="127" t="s">
        <v>499</v>
      </c>
      <c r="F260" s="127" t="s">
        <v>503</v>
      </c>
      <c r="G260" s="393">
        <v>1.46</v>
      </c>
      <c r="H260" s="393">
        <v>0.46</v>
      </c>
      <c r="I260" s="602">
        <v>0.32</v>
      </c>
      <c r="J260" s="393"/>
      <c r="K260" s="393">
        <v>2.29</v>
      </c>
      <c r="L260" s="393">
        <v>0.53</v>
      </c>
      <c r="M260" s="393">
        <v>0.83</v>
      </c>
      <c r="N260" s="393"/>
      <c r="O260" s="393">
        <v>2.2599999999999998</v>
      </c>
      <c r="P260" s="393">
        <v>1</v>
      </c>
      <c r="Q260" s="393">
        <v>-0.88</v>
      </c>
      <c r="R260" s="393"/>
      <c r="S260" s="393">
        <v>2.61</v>
      </c>
      <c r="T260" s="393">
        <v>1</v>
      </c>
      <c r="U260" s="393">
        <v>-0.51</v>
      </c>
      <c r="V260" s="393"/>
    </row>
    <row r="261" spans="1:22" s="59" customFormat="1">
      <c r="A261" s="130" t="str">
        <f t="shared" si="4"/>
        <v>OutdoorWettable granules, soluble granulesUpward sprayingManual-Hand heldBody</v>
      </c>
      <c r="B261" s="127" t="s">
        <v>508</v>
      </c>
      <c r="C261" s="127" t="s">
        <v>500</v>
      </c>
      <c r="D261" s="127" t="s">
        <v>505</v>
      </c>
      <c r="E261" s="127" t="s">
        <v>499</v>
      </c>
      <c r="F261" s="127" t="s">
        <v>420</v>
      </c>
      <c r="G261" s="393">
        <v>3.04</v>
      </c>
      <c r="H261" s="393">
        <v>0.74</v>
      </c>
      <c r="I261" s="393"/>
      <c r="J261" s="393"/>
      <c r="K261" s="393">
        <v>3.87</v>
      </c>
      <c r="L261" s="393">
        <v>0.69</v>
      </c>
      <c r="M261" s="393"/>
      <c r="N261" s="393"/>
      <c r="O261" s="393">
        <v>6.08</v>
      </c>
      <c r="P261" s="393">
        <v>0.16</v>
      </c>
      <c r="Q261" s="393">
        <v>-1.29</v>
      </c>
      <c r="R261" s="393"/>
      <c r="S261" s="393">
        <v>6.34</v>
      </c>
      <c r="T261" s="393">
        <v>0.01</v>
      </c>
      <c r="U261" s="393">
        <v>-1.0900000000000001</v>
      </c>
      <c r="V261" s="393"/>
    </row>
    <row r="262" spans="1:22">
      <c r="A262" s="130" t="str">
        <f t="shared" si="4"/>
        <v>OutdoorWettable granules, soluble granulesUpward sprayingManual-Hand heldHands</v>
      </c>
      <c r="B262" s="127" t="s">
        <v>508</v>
      </c>
      <c r="C262" s="127" t="s">
        <v>500</v>
      </c>
      <c r="D262" s="127" t="s">
        <v>505</v>
      </c>
      <c r="E262" s="127" t="s">
        <v>499</v>
      </c>
      <c r="F262" s="127" t="s">
        <v>418</v>
      </c>
      <c r="G262" s="393">
        <v>3.27</v>
      </c>
      <c r="H262" s="393">
        <v>0.64</v>
      </c>
      <c r="I262" s="393">
        <v>0</v>
      </c>
      <c r="J262" s="393"/>
      <c r="K262" s="393">
        <v>3.74</v>
      </c>
      <c r="L262" s="393">
        <v>0.69</v>
      </c>
      <c r="M262" s="393">
        <v>0</v>
      </c>
      <c r="N262" s="393"/>
      <c r="O262" s="393">
        <v>4.26</v>
      </c>
      <c r="P262" s="393">
        <v>0.84</v>
      </c>
      <c r="Q262" s="393">
        <v>-0.83</v>
      </c>
      <c r="R262" s="393"/>
      <c r="S262" s="393">
        <v>4.41</v>
      </c>
      <c r="T262" s="393">
        <v>0.77</v>
      </c>
      <c r="U262" s="393">
        <v>-0.47</v>
      </c>
      <c r="V262" s="393"/>
    </row>
    <row r="263" spans="1:22">
      <c r="A263" s="130" t="str">
        <f t="shared" si="4"/>
        <v>OutdoorWettable granules, soluble granulesUpward sprayingManual-Hand heldHead</v>
      </c>
      <c r="B263" s="127" t="s">
        <v>508</v>
      </c>
      <c r="C263" s="127" t="s">
        <v>500</v>
      </c>
      <c r="D263" s="127" t="s">
        <v>505</v>
      </c>
      <c r="E263" s="127" t="s">
        <v>499</v>
      </c>
      <c r="F263" s="127" t="s">
        <v>104</v>
      </c>
      <c r="G263" s="393">
        <v>1.46</v>
      </c>
      <c r="H263" s="393">
        <v>1</v>
      </c>
      <c r="I263" s="393">
        <v>0</v>
      </c>
      <c r="J263" s="393"/>
      <c r="K263" s="393">
        <v>2.19</v>
      </c>
      <c r="L263" s="393">
        <v>1</v>
      </c>
      <c r="M263" s="393">
        <v>0</v>
      </c>
      <c r="N263" s="393"/>
      <c r="O263" s="393">
        <v>3.27</v>
      </c>
      <c r="P263" s="393">
        <v>0.32</v>
      </c>
      <c r="Q263" s="393">
        <v>-1.0900000000000001</v>
      </c>
      <c r="R263" s="393"/>
      <c r="S263" s="393">
        <v>3.5</v>
      </c>
      <c r="T263" s="393">
        <v>0.33</v>
      </c>
      <c r="U263" s="393">
        <v>-0.59</v>
      </c>
      <c r="V263" s="393"/>
    </row>
    <row r="264" spans="1:22">
      <c r="A264" s="130" t="str">
        <f t="shared" si="4"/>
        <v>OutdoorWettable granules, soluble granulesUpward sprayingManual-Hand heldInhalation</v>
      </c>
      <c r="B264" s="127" t="s">
        <v>508</v>
      </c>
      <c r="C264" s="127" t="s">
        <v>500</v>
      </c>
      <c r="D264" s="127" t="s">
        <v>505</v>
      </c>
      <c r="E264" s="127" t="s">
        <v>499</v>
      </c>
      <c r="F264" s="127" t="s">
        <v>109</v>
      </c>
      <c r="G264" s="393">
        <v>1.38</v>
      </c>
      <c r="H264" s="393">
        <v>0.38</v>
      </c>
      <c r="I264" s="393"/>
      <c r="J264" s="393"/>
      <c r="K264" s="393">
        <v>1.81</v>
      </c>
      <c r="L264" s="393">
        <v>0.49</v>
      </c>
      <c r="M264" s="393"/>
      <c r="N264" s="393"/>
      <c r="O264" s="393">
        <v>2.17</v>
      </c>
      <c r="P264" s="393">
        <v>0.83</v>
      </c>
      <c r="Q264" s="393">
        <v>-0.26</v>
      </c>
      <c r="R264" s="393"/>
      <c r="S264" s="393">
        <v>2.52</v>
      </c>
      <c r="T264" s="393">
        <v>0.6</v>
      </c>
      <c r="U264" s="393">
        <v>-0.26</v>
      </c>
      <c r="V264" s="393"/>
    </row>
    <row r="265" spans="1:22">
      <c r="A265" s="130" t="str">
        <f t="shared" si="4"/>
        <v>OutdoorWettable granules, soluble granulesUpward sprayingManual-Hand heldProtected Body</v>
      </c>
      <c r="B265" s="127" t="s">
        <v>508</v>
      </c>
      <c r="C265" s="127" t="s">
        <v>500</v>
      </c>
      <c r="D265" s="127" t="s">
        <v>505</v>
      </c>
      <c r="E265" s="127" t="s">
        <v>499</v>
      </c>
      <c r="F265" s="127" t="s">
        <v>502</v>
      </c>
      <c r="G265" s="393">
        <v>1.58</v>
      </c>
      <c r="H265" s="393">
        <v>0.62</v>
      </c>
      <c r="I265" s="393"/>
      <c r="J265" s="393"/>
      <c r="K265" s="393">
        <v>2.09</v>
      </c>
      <c r="L265" s="393">
        <v>0.78</v>
      </c>
      <c r="M265" s="393"/>
      <c r="N265" s="393"/>
      <c r="O265" s="393">
        <v>4.6500000000000004</v>
      </c>
      <c r="P265" s="393"/>
      <c r="Q265" s="393">
        <v>-1.64</v>
      </c>
      <c r="R265" s="393"/>
      <c r="S265" s="393">
        <v>5.27</v>
      </c>
      <c r="T265" s="393"/>
      <c r="U265" s="393">
        <v>-1.99</v>
      </c>
      <c r="V265" s="393"/>
    </row>
    <row r="266" spans="1:22">
      <c r="A266" s="130" t="str">
        <f t="shared" si="4"/>
        <v>OutdoorWettable granules, soluble granulesUpward sprayingManual-Hand heldProtected Hands</v>
      </c>
      <c r="B266" s="127" t="s">
        <v>508</v>
      </c>
      <c r="C266" s="127" t="s">
        <v>500</v>
      </c>
      <c r="D266" s="127" t="s">
        <v>505</v>
      </c>
      <c r="E266" s="127" t="s">
        <v>499</v>
      </c>
      <c r="F266" s="127" t="s">
        <v>503</v>
      </c>
      <c r="G266" s="393">
        <v>1.46</v>
      </c>
      <c r="H266" s="393">
        <v>0.46</v>
      </c>
      <c r="I266" s="393"/>
      <c r="J266" s="393"/>
      <c r="K266" s="393">
        <v>2.29</v>
      </c>
      <c r="L266" s="393">
        <v>0.53</v>
      </c>
      <c r="M266" s="393"/>
      <c r="N266" s="393"/>
      <c r="O266" s="393">
        <v>2.2599999999999998</v>
      </c>
      <c r="P266" s="393">
        <v>1</v>
      </c>
      <c r="Q266" s="393">
        <v>-0.88</v>
      </c>
      <c r="R266" s="393"/>
      <c r="S266" s="393">
        <v>2.61</v>
      </c>
      <c r="T266" s="393">
        <v>1</v>
      </c>
      <c r="U266" s="393">
        <v>-0.51</v>
      </c>
      <c r="V266" s="393"/>
    </row>
    <row r="267" spans="1:22">
      <c r="A267" s="130" t="str">
        <f t="shared" si="4"/>
        <v>OutdoorWettable powder, soluble powderUpward sprayingManual-Hand heldBody</v>
      </c>
      <c r="B267" s="127" t="s">
        <v>508</v>
      </c>
      <c r="C267" s="127" t="s">
        <v>501</v>
      </c>
      <c r="D267" s="127" t="s">
        <v>505</v>
      </c>
      <c r="E267" s="127" t="s">
        <v>499</v>
      </c>
      <c r="F267" s="127" t="s">
        <v>420</v>
      </c>
      <c r="G267" s="393">
        <v>3.04</v>
      </c>
      <c r="H267" s="393">
        <v>0.74</v>
      </c>
      <c r="I267" s="393">
        <v>1.85</v>
      </c>
      <c r="J267" s="393"/>
      <c r="K267" s="393">
        <v>3.87</v>
      </c>
      <c r="L267" s="393">
        <v>0.69</v>
      </c>
      <c r="M267" s="393">
        <v>1.29</v>
      </c>
      <c r="N267" s="393"/>
      <c r="O267" s="393">
        <v>6.08</v>
      </c>
      <c r="P267" s="393">
        <v>0.16</v>
      </c>
      <c r="Q267" s="393">
        <v>-1.29</v>
      </c>
      <c r="R267" s="393"/>
      <c r="S267" s="393">
        <v>6.34</v>
      </c>
      <c r="T267" s="393">
        <v>0.01</v>
      </c>
      <c r="U267" s="393">
        <v>-1.0900000000000001</v>
      </c>
      <c r="V267" s="393"/>
    </row>
    <row r="268" spans="1:22">
      <c r="A268" s="130" t="str">
        <f t="shared" si="4"/>
        <v>OutdoorWettable powder, soluble powderUpward sprayingManual-Hand heldHands</v>
      </c>
      <c r="B268" s="127" t="s">
        <v>508</v>
      </c>
      <c r="C268" s="127" t="s">
        <v>501</v>
      </c>
      <c r="D268" s="127" t="s">
        <v>505</v>
      </c>
      <c r="E268" s="127" t="s">
        <v>499</v>
      </c>
      <c r="F268" s="127" t="s">
        <v>418</v>
      </c>
      <c r="G268" s="393">
        <v>3.27</v>
      </c>
      <c r="H268" s="393">
        <v>0.64</v>
      </c>
      <c r="I268" s="393">
        <v>1.28</v>
      </c>
      <c r="J268" s="393"/>
      <c r="K268" s="393">
        <v>3.74</v>
      </c>
      <c r="L268" s="393">
        <v>0.69</v>
      </c>
      <c r="M268" s="393">
        <v>1.21</v>
      </c>
      <c r="N268" s="393"/>
      <c r="O268" s="393">
        <v>4.26</v>
      </c>
      <c r="P268" s="393">
        <v>0.84</v>
      </c>
      <c r="Q268" s="393">
        <v>-0.83</v>
      </c>
      <c r="R268" s="393"/>
      <c r="S268" s="393">
        <v>4.41</v>
      </c>
      <c r="T268" s="393">
        <v>0.77</v>
      </c>
      <c r="U268" s="393">
        <v>-0.47</v>
      </c>
      <c r="V268" s="393"/>
    </row>
    <row r="269" spans="1:22">
      <c r="A269" s="130" t="str">
        <f t="shared" si="4"/>
        <v>OutdoorWettable powder, soluble powderUpward sprayingManual-Hand heldHead</v>
      </c>
      <c r="B269" s="127" t="s">
        <v>508</v>
      </c>
      <c r="C269" s="127" t="s">
        <v>501</v>
      </c>
      <c r="D269" s="127" t="s">
        <v>505</v>
      </c>
      <c r="E269" s="127" t="s">
        <v>499</v>
      </c>
      <c r="F269" s="127" t="s">
        <v>104</v>
      </c>
      <c r="G269" s="393">
        <v>1.46</v>
      </c>
      <c r="H269" s="393">
        <v>1</v>
      </c>
      <c r="I269" s="393">
        <v>0.7</v>
      </c>
      <c r="J269" s="393"/>
      <c r="K269" s="393">
        <v>2.19</v>
      </c>
      <c r="L269" s="393">
        <v>1</v>
      </c>
      <c r="M269" s="393">
        <v>0.11</v>
      </c>
      <c r="N269" s="393"/>
      <c r="O269" s="393">
        <v>3.27</v>
      </c>
      <c r="P269" s="393">
        <v>0.32</v>
      </c>
      <c r="Q269" s="393">
        <v>-1.0900000000000001</v>
      </c>
      <c r="R269" s="393"/>
      <c r="S269" s="393">
        <v>3.5</v>
      </c>
      <c r="T269" s="393">
        <v>0.33</v>
      </c>
      <c r="U269" s="393">
        <v>-0.59</v>
      </c>
      <c r="V269" s="393"/>
    </row>
    <row r="270" spans="1:22">
      <c r="A270" s="130" t="str">
        <f t="shared" si="4"/>
        <v>OutdoorWettable powder, soluble powderUpward sprayingManual-Hand heldInhalation</v>
      </c>
      <c r="B270" s="127" t="s">
        <v>508</v>
      </c>
      <c r="C270" s="127" t="s">
        <v>501</v>
      </c>
      <c r="D270" s="127" t="s">
        <v>505</v>
      </c>
      <c r="E270" s="127" t="s">
        <v>499</v>
      </c>
      <c r="F270" s="127" t="s">
        <v>109</v>
      </c>
      <c r="G270" s="393">
        <v>1.38</v>
      </c>
      <c r="H270" s="393">
        <v>0.38</v>
      </c>
      <c r="I270" s="393">
        <v>1.96</v>
      </c>
      <c r="J270" s="393"/>
      <c r="K270" s="393">
        <v>1.81</v>
      </c>
      <c r="L270" s="393">
        <v>0.49</v>
      </c>
      <c r="M270" s="393">
        <v>1.54</v>
      </c>
      <c r="N270" s="393"/>
      <c r="O270" s="393">
        <v>2.17</v>
      </c>
      <c r="P270" s="393">
        <v>0.83</v>
      </c>
      <c r="Q270" s="393">
        <v>-0.26</v>
      </c>
      <c r="R270" s="393"/>
      <c r="S270" s="393">
        <v>2.52</v>
      </c>
      <c r="T270" s="393">
        <v>0.6</v>
      </c>
      <c r="U270" s="393">
        <v>-0.26</v>
      </c>
      <c r="V270" s="393"/>
    </row>
    <row r="271" spans="1:22">
      <c r="A271" s="130" t="str">
        <f t="shared" si="4"/>
        <v>OutdoorWettable powder, soluble powderUpward sprayingManual-Hand heldProtected Body</v>
      </c>
      <c r="B271" s="127" t="s">
        <v>508</v>
      </c>
      <c r="C271" s="127" t="s">
        <v>501</v>
      </c>
      <c r="D271" s="127" t="s">
        <v>505</v>
      </c>
      <c r="E271" s="127" t="s">
        <v>499</v>
      </c>
      <c r="F271" s="127" t="s">
        <v>502</v>
      </c>
      <c r="G271" s="393">
        <v>1.58</v>
      </c>
      <c r="H271" s="393">
        <v>0.62</v>
      </c>
      <c r="I271" s="393">
        <v>1.84</v>
      </c>
      <c r="J271" s="393"/>
      <c r="K271" s="393">
        <v>2.09</v>
      </c>
      <c r="L271" s="393">
        <v>0.78</v>
      </c>
      <c r="M271" s="393">
        <v>1.58</v>
      </c>
      <c r="N271" s="393"/>
      <c r="O271" s="393">
        <v>4.6500000000000004</v>
      </c>
      <c r="P271" s="393"/>
      <c r="Q271" s="393">
        <v>-1.64</v>
      </c>
      <c r="R271" s="393"/>
      <c r="S271" s="393">
        <v>5.27</v>
      </c>
      <c r="T271" s="393"/>
      <c r="U271" s="393">
        <v>-1.99</v>
      </c>
      <c r="V271" s="393"/>
    </row>
    <row r="272" spans="1:22">
      <c r="A272" s="130" t="str">
        <f t="shared" si="4"/>
        <v>OutdoorWettable powder, soluble powderUpward sprayingManual-Hand heldProtected Hands</v>
      </c>
      <c r="B272" s="127" t="s">
        <v>508</v>
      </c>
      <c r="C272" s="127" t="s">
        <v>501</v>
      </c>
      <c r="D272" s="127" t="s">
        <v>505</v>
      </c>
      <c r="E272" s="127" t="s">
        <v>499</v>
      </c>
      <c r="F272" s="127" t="s">
        <v>503</v>
      </c>
      <c r="G272" s="393">
        <v>1.46</v>
      </c>
      <c r="H272" s="393">
        <v>0.46</v>
      </c>
      <c r="I272" s="393">
        <v>1.66</v>
      </c>
      <c r="J272" s="393"/>
      <c r="K272" s="393">
        <v>2.29</v>
      </c>
      <c r="L272" s="393">
        <v>0.53</v>
      </c>
      <c r="M272" s="393">
        <v>1.39</v>
      </c>
      <c r="N272" s="393"/>
      <c r="O272" s="393">
        <v>2.2599999999999998</v>
      </c>
      <c r="P272" s="393">
        <v>1</v>
      </c>
      <c r="Q272" s="393">
        <v>-0.88</v>
      </c>
      <c r="R272" s="393"/>
      <c r="S272" s="393">
        <v>2.61</v>
      </c>
      <c r="T272" s="393">
        <v>1</v>
      </c>
      <c r="U272" s="393">
        <v>-0.51</v>
      </c>
      <c r="V272" s="393"/>
    </row>
    <row r="273" spans="1:22">
      <c r="A273" s="130" t="str">
        <f t="shared" ref="A273:A290" si="5">B273&amp;C273&amp;D273&amp;E273&amp;F273</f>
        <v>OutdoorSoluble concentrates, emulsifiable concentrate, etc.Upward sprayingManual-KnapsackBody</v>
      </c>
      <c r="B273" s="127" t="s">
        <v>508</v>
      </c>
      <c r="C273" s="127" t="s">
        <v>497</v>
      </c>
      <c r="D273" s="127" t="s">
        <v>505</v>
      </c>
      <c r="E273" s="127" t="s">
        <v>504</v>
      </c>
      <c r="F273" s="127" t="s">
        <v>420</v>
      </c>
      <c r="G273" s="393"/>
      <c r="H273" s="393"/>
      <c r="I273" s="393"/>
      <c r="J273" s="393">
        <v>803</v>
      </c>
      <c r="K273" s="393"/>
      <c r="L273" s="393"/>
      <c r="M273" s="393"/>
      <c r="N273" s="393">
        <v>2787</v>
      </c>
      <c r="O273" s="393">
        <v>6.08</v>
      </c>
      <c r="P273" s="393">
        <v>0.16</v>
      </c>
      <c r="Q273" s="393">
        <v>-1.29</v>
      </c>
      <c r="R273" s="393"/>
      <c r="S273" s="393">
        <v>6.34</v>
      </c>
      <c r="T273" s="393">
        <v>0.01</v>
      </c>
      <c r="U273" s="393">
        <v>-1.0900000000000001</v>
      </c>
      <c r="V273" s="393"/>
    </row>
    <row r="274" spans="1:22">
      <c r="A274" s="130" t="str">
        <f t="shared" si="5"/>
        <v>OutdoorWettable granules, soluble granulesUpward sprayingManual-KnapsackBody</v>
      </c>
      <c r="B274" s="127" t="s">
        <v>508</v>
      </c>
      <c r="C274" s="127" t="s">
        <v>500</v>
      </c>
      <c r="D274" s="127" t="s">
        <v>505</v>
      </c>
      <c r="E274" s="127" t="s">
        <v>504</v>
      </c>
      <c r="F274" s="127" t="s">
        <v>420</v>
      </c>
      <c r="G274" s="393"/>
      <c r="H274" s="393"/>
      <c r="I274" s="393"/>
      <c r="J274" s="393">
        <v>803</v>
      </c>
      <c r="K274" s="393"/>
      <c r="L274" s="393"/>
      <c r="M274" s="393"/>
      <c r="N274" s="393">
        <v>2787</v>
      </c>
      <c r="O274" s="393">
        <v>6.08</v>
      </c>
      <c r="P274" s="393">
        <v>0.16</v>
      </c>
      <c r="Q274" s="393">
        <v>-1.29</v>
      </c>
      <c r="R274" s="393"/>
      <c r="S274" s="393">
        <v>6.34</v>
      </c>
      <c r="T274" s="393">
        <v>0.01</v>
      </c>
      <c r="U274" s="393">
        <v>-1.0900000000000001</v>
      </c>
      <c r="V274" s="393"/>
    </row>
    <row r="275" spans="1:22">
      <c r="A275" s="130" t="str">
        <f t="shared" si="5"/>
        <v>OutdoorWettable powder, soluble powderUpward sprayingManual-KnapsackBody</v>
      </c>
      <c r="B275" s="127" t="s">
        <v>508</v>
      </c>
      <c r="C275" s="127" t="s">
        <v>501</v>
      </c>
      <c r="D275" s="127" t="s">
        <v>505</v>
      </c>
      <c r="E275" s="127" t="s">
        <v>504</v>
      </c>
      <c r="F275" s="127" t="s">
        <v>420</v>
      </c>
      <c r="G275" s="393"/>
      <c r="H275" s="393"/>
      <c r="I275" s="393"/>
      <c r="J275" s="393">
        <v>803</v>
      </c>
      <c r="K275" s="393"/>
      <c r="L275" s="393"/>
      <c r="M275" s="393"/>
      <c r="N275" s="393">
        <v>2787</v>
      </c>
      <c r="O275" s="393">
        <v>6.08</v>
      </c>
      <c r="P275" s="393">
        <v>0.16</v>
      </c>
      <c r="Q275" s="393">
        <v>-1.29</v>
      </c>
      <c r="R275" s="393"/>
      <c r="S275" s="393">
        <v>6.34</v>
      </c>
      <c r="T275" s="393">
        <v>0.01</v>
      </c>
      <c r="U275" s="393">
        <v>-1.0900000000000001</v>
      </c>
      <c r="V275" s="393"/>
    </row>
    <row r="276" spans="1:22">
      <c r="A276" s="130" t="str">
        <f t="shared" si="5"/>
        <v>OutdoorSoluble concentrates, emulsifiable concentrate, etc.Upward sprayingManual-KnapsackHands</v>
      </c>
      <c r="B276" s="127" t="s">
        <v>508</v>
      </c>
      <c r="C276" s="127" t="s">
        <v>497</v>
      </c>
      <c r="D276" s="127" t="s">
        <v>505</v>
      </c>
      <c r="E276" s="127" t="s">
        <v>504</v>
      </c>
      <c r="F276" s="127" t="s">
        <v>418</v>
      </c>
      <c r="G276" s="393"/>
      <c r="H276" s="393"/>
      <c r="I276" s="393"/>
      <c r="J276" s="393">
        <v>9497</v>
      </c>
      <c r="K276" s="393"/>
      <c r="L276" s="393"/>
      <c r="M276" s="393"/>
      <c r="N276" s="393">
        <v>25490</v>
      </c>
      <c r="O276" s="393">
        <v>4.26</v>
      </c>
      <c r="P276" s="393">
        <v>0.84</v>
      </c>
      <c r="Q276" s="393">
        <v>-0.83</v>
      </c>
      <c r="R276" s="393"/>
      <c r="S276" s="393">
        <v>4.41</v>
      </c>
      <c r="T276" s="393">
        <v>0.77</v>
      </c>
      <c r="U276" s="393">
        <v>-0.47</v>
      </c>
      <c r="V276" s="393"/>
    </row>
    <row r="277" spans="1:22">
      <c r="A277" s="130" t="str">
        <f t="shared" si="5"/>
        <v>OutdoorWettable granules, soluble granulesUpward sprayingManual-KnapsackHands</v>
      </c>
      <c r="B277" s="127" t="s">
        <v>508</v>
      </c>
      <c r="C277" s="127" t="s">
        <v>500</v>
      </c>
      <c r="D277" s="127" t="s">
        <v>505</v>
      </c>
      <c r="E277" s="127" t="s">
        <v>504</v>
      </c>
      <c r="F277" s="127" t="s">
        <v>418</v>
      </c>
      <c r="G277" s="393"/>
      <c r="H277" s="393"/>
      <c r="I277" s="393"/>
      <c r="J277" s="393">
        <v>9497</v>
      </c>
      <c r="K277" s="393"/>
      <c r="L277" s="393"/>
      <c r="M277" s="393"/>
      <c r="N277" s="393">
        <v>25490</v>
      </c>
      <c r="O277" s="393">
        <v>4.26</v>
      </c>
      <c r="P277" s="393">
        <v>0.84</v>
      </c>
      <c r="Q277" s="393">
        <v>-0.83</v>
      </c>
      <c r="R277" s="393"/>
      <c r="S277" s="393">
        <v>4.41</v>
      </c>
      <c r="T277" s="393">
        <v>0.77</v>
      </c>
      <c r="U277" s="393">
        <v>-0.47</v>
      </c>
      <c r="V277" s="393"/>
    </row>
    <row r="278" spans="1:22">
      <c r="A278" s="130" t="str">
        <f t="shared" si="5"/>
        <v>OutdoorWettable powder, soluble powderUpward sprayingManual-KnapsackHands</v>
      </c>
      <c r="B278" s="127" t="s">
        <v>508</v>
      </c>
      <c r="C278" s="127" t="s">
        <v>501</v>
      </c>
      <c r="D278" s="127" t="s">
        <v>505</v>
      </c>
      <c r="E278" s="127" t="s">
        <v>504</v>
      </c>
      <c r="F278" s="127" t="s">
        <v>418</v>
      </c>
      <c r="G278" s="393"/>
      <c r="H278" s="393"/>
      <c r="I278" s="393"/>
      <c r="J278" s="393">
        <v>9497</v>
      </c>
      <c r="K278" s="393"/>
      <c r="L278" s="393"/>
      <c r="M278" s="393"/>
      <c r="N278" s="393">
        <v>25490</v>
      </c>
      <c r="O278" s="393">
        <v>4.26</v>
      </c>
      <c r="P278" s="393">
        <v>0.84</v>
      </c>
      <c r="Q278" s="393">
        <v>-0.83</v>
      </c>
      <c r="R278" s="393"/>
      <c r="S278" s="393">
        <v>4.41</v>
      </c>
      <c r="T278" s="393">
        <v>0.77</v>
      </c>
      <c r="U278" s="393">
        <v>-0.47</v>
      </c>
      <c r="V278" s="393"/>
    </row>
    <row r="279" spans="1:22">
      <c r="A279" s="130" t="str">
        <f t="shared" si="5"/>
        <v>OutdoorSoluble concentrates, emulsifiable concentrate, etc.Upward sprayingManual-KnapsackHead</v>
      </c>
      <c r="B279" s="127" t="s">
        <v>508</v>
      </c>
      <c r="C279" s="127" t="s">
        <v>497</v>
      </c>
      <c r="D279" s="127" t="s">
        <v>505</v>
      </c>
      <c r="E279" s="127" t="s">
        <v>504</v>
      </c>
      <c r="F279" s="127" t="s">
        <v>104</v>
      </c>
      <c r="G279" s="393"/>
      <c r="H279" s="393"/>
      <c r="I279" s="393"/>
      <c r="J279" s="393">
        <v>5.5</v>
      </c>
      <c r="K279" s="393"/>
      <c r="L279" s="393"/>
      <c r="M279" s="393"/>
      <c r="N279" s="393">
        <v>11</v>
      </c>
      <c r="O279" s="393">
        <v>3.27</v>
      </c>
      <c r="P279" s="393">
        <v>0.32</v>
      </c>
      <c r="Q279" s="393">
        <v>-1.0900000000000001</v>
      </c>
      <c r="R279" s="393"/>
      <c r="S279" s="393">
        <v>3.5</v>
      </c>
      <c r="T279" s="393">
        <v>0.33</v>
      </c>
      <c r="U279" s="393">
        <v>-0.59</v>
      </c>
      <c r="V279" s="393"/>
    </row>
    <row r="280" spans="1:22">
      <c r="A280" s="130" t="str">
        <f t="shared" si="5"/>
        <v>OutdoorWettable granules, soluble granulesUpward sprayingManual-KnapsackHead</v>
      </c>
      <c r="B280" s="127" t="s">
        <v>508</v>
      </c>
      <c r="C280" s="127" t="s">
        <v>500</v>
      </c>
      <c r="D280" s="127" t="s">
        <v>505</v>
      </c>
      <c r="E280" s="127" t="s">
        <v>504</v>
      </c>
      <c r="F280" s="127" t="s">
        <v>104</v>
      </c>
      <c r="G280" s="393"/>
      <c r="H280" s="393"/>
      <c r="I280" s="393"/>
      <c r="J280" s="393">
        <v>5.5</v>
      </c>
      <c r="K280" s="393"/>
      <c r="L280" s="393"/>
      <c r="M280" s="393"/>
      <c r="N280" s="393">
        <v>11</v>
      </c>
      <c r="O280" s="393">
        <v>3.27</v>
      </c>
      <c r="P280" s="393">
        <v>0.32</v>
      </c>
      <c r="Q280" s="393">
        <v>-1.0900000000000001</v>
      </c>
      <c r="R280" s="393"/>
      <c r="S280" s="393">
        <v>3.5</v>
      </c>
      <c r="T280" s="393">
        <v>0.33</v>
      </c>
      <c r="U280" s="393">
        <v>-0.59</v>
      </c>
      <c r="V280" s="393"/>
    </row>
    <row r="281" spans="1:22" s="59" customFormat="1">
      <c r="A281" s="130" t="str">
        <f t="shared" si="5"/>
        <v>OutdoorWettable powder, soluble powderUpward sprayingManual-KnapsackHead</v>
      </c>
      <c r="B281" s="127" t="s">
        <v>508</v>
      </c>
      <c r="C281" s="127" t="s">
        <v>501</v>
      </c>
      <c r="D281" s="127" t="s">
        <v>505</v>
      </c>
      <c r="E281" s="127" t="s">
        <v>504</v>
      </c>
      <c r="F281" s="127" t="s">
        <v>104</v>
      </c>
      <c r="G281" s="393"/>
      <c r="H281" s="393"/>
      <c r="I281" s="393"/>
      <c r="J281" s="393">
        <v>5.5</v>
      </c>
      <c r="K281" s="393"/>
      <c r="L281" s="393"/>
      <c r="M281" s="393"/>
      <c r="N281" s="393">
        <v>11</v>
      </c>
      <c r="O281" s="393">
        <v>3.27</v>
      </c>
      <c r="P281" s="393">
        <v>0.32</v>
      </c>
      <c r="Q281" s="393">
        <v>-1.0900000000000001</v>
      </c>
      <c r="R281" s="393"/>
      <c r="S281" s="393">
        <v>3.5</v>
      </c>
      <c r="T281" s="393">
        <v>0.33</v>
      </c>
      <c r="U281" s="393">
        <v>-0.59</v>
      </c>
      <c r="V281" s="393"/>
    </row>
    <row r="282" spans="1:22">
      <c r="A282" s="130" t="str">
        <f t="shared" si="5"/>
        <v>OutdoorSoluble concentrates, emulsifiable concentrate, etc.Upward sprayingManual-KnapsackInhalation</v>
      </c>
      <c r="B282" s="127" t="s">
        <v>508</v>
      </c>
      <c r="C282" s="127" t="s">
        <v>497</v>
      </c>
      <c r="D282" s="127" t="s">
        <v>505</v>
      </c>
      <c r="E282" s="127" t="s">
        <v>504</v>
      </c>
      <c r="F282" s="127" t="s">
        <v>109</v>
      </c>
      <c r="G282" s="393"/>
      <c r="H282" s="393"/>
      <c r="I282" s="393"/>
      <c r="J282" s="393">
        <v>35</v>
      </c>
      <c r="K282" s="393"/>
      <c r="L282" s="393"/>
      <c r="M282" s="393"/>
      <c r="N282" s="393">
        <v>36</v>
      </c>
      <c r="O282" s="393">
        <v>2.17</v>
      </c>
      <c r="P282" s="393">
        <v>0.83</v>
      </c>
      <c r="Q282" s="393">
        <v>-0.26</v>
      </c>
      <c r="R282" s="393"/>
      <c r="S282" s="393">
        <v>2.52</v>
      </c>
      <c r="T282" s="393">
        <v>0.6</v>
      </c>
      <c r="U282" s="393">
        <v>-0.26</v>
      </c>
      <c r="V282" s="393"/>
    </row>
    <row r="283" spans="1:22">
      <c r="A283" s="130" t="str">
        <f t="shared" si="5"/>
        <v>OutdoorWettable granules, soluble granulesUpward sprayingManual-KnapsackInhalation</v>
      </c>
      <c r="B283" s="127" t="s">
        <v>508</v>
      </c>
      <c r="C283" s="127" t="s">
        <v>500</v>
      </c>
      <c r="D283" s="127" t="s">
        <v>505</v>
      </c>
      <c r="E283" s="127" t="s">
        <v>504</v>
      </c>
      <c r="F283" s="127" t="s">
        <v>109</v>
      </c>
      <c r="G283" s="393"/>
      <c r="H283" s="393"/>
      <c r="I283" s="393"/>
      <c r="J283" s="393">
        <v>35</v>
      </c>
      <c r="K283" s="393"/>
      <c r="L283" s="393"/>
      <c r="M283" s="393"/>
      <c r="N283" s="393">
        <v>36</v>
      </c>
      <c r="O283" s="393">
        <v>2.17</v>
      </c>
      <c r="P283" s="393">
        <v>0.83</v>
      </c>
      <c r="Q283" s="393">
        <v>-0.26</v>
      </c>
      <c r="R283" s="393"/>
      <c r="S283" s="393">
        <v>2.52</v>
      </c>
      <c r="T283" s="393">
        <v>0.6</v>
      </c>
      <c r="U283" s="393">
        <v>-0.26</v>
      </c>
      <c r="V283" s="393"/>
    </row>
    <row r="284" spans="1:22">
      <c r="A284" s="130" t="str">
        <f t="shared" si="5"/>
        <v>OutdoorWettable powder, soluble powderUpward sprayingManual-KnapsackInhalation</v>
      </c>
      <c r="B284" s="127" t="s">
        <v>508</v>
      </c>
      <c r="C284" s="127" t="s">
        <v>501</v>
      </c>
      <c r="D284" s="127" t="s">
        <v>505</v>
      </c>
      <c r="E284" s="127" t="s">
        <v>504</v>
      </c>
      <c r="F284" s="127" t="s">
        <v>109</v>
      </c>
      <c r="G284" s="393"/>
      <c r="H284" s="393"/>
      <c r="I284" s="393"/>
      <c r="J284" s="393">
        <v>35</v>
      </c>
      <c r="K284" s="393"/>
      <c r="L284" s="393"/>
      <c r="M284" s="393"/>
      <c r="N284" s="393">
        <v>36</v>
      </c>
      <c r="O284" s="393">
        <v>2.17</v>
      </c>
      <c r="P284" s="393">
        <v>0.83</v>
      </c>
      <c r="Q284" s="393">
        <v>-0.26</v>
      </c>
      <c r="R284" s="393"/>
      <c r="S284" s="393">
        <v>2.52</v>
      </c>
      <c r="T284" s="393">
        <v>0.6</v>
      </c>
      <c r="U284" s="393">
        <v>-0.26</v>
      </c>
      <c r="V284" s="393"/>
    </row>
    <row r="285" spans="1:22">
      <c r="A285" s="130" t="str">
        <f t="shared" si="5"/>
        <v>OutdoorSoluble concentrates, emulsifiable concentrate, etc.Upward sprayingManual-KnapsackProtected Body</v>
      </c>
      <c r="B285" s="127" t="s">
        <v>508</v>
      </c>
      <c r="C285" s="127" t="s">
        <v>497</v>
      </c>
      <c r="D285" s="127" t="s">
        <v>505</v>
      </c>
      <c r="E285" s="127" t="s">
        <v>504</v>
      </c>
      <c r="F285" s="127" t="s">
        <v>502</v>
      </c>
      <c r="G285" s="393"/>
      <c r="H285" s="393"/>
      <c r="I285" s="393"/>
      <c r="J285" s="393">
        <v>25</v>
      </c>
      <c r="K285" s="393"/>
      <c r="L285" s="393"/>
      <c r="M285" s="393"/>
      <c r="N285" s="393">
        <v>103</v>
      </c>
      <c r="O285" s="393">
        <v>4.6500000000000004</v>
      </c>
      <c r="P285" s="393"/>
      <c r="Q285" s="393">
        <v>-1.64</v>
      </c>
      <c r="R285" s="393"/>
      <c r="S285" s="393">
        <v>5.27</v>
      </c>
      <c r="T285" s="393"/>
      <c r="U285" s="393">
        <v>-1.99</v>
      </c>
      <c r="V285" s="393"/>
    </row>
    <row r="286" spans="1:22">
      <c r="A286" s="130" t="str">
        <f t="shared" si="5"/>
        <v>OutdoorWettable granules, soluble granulesUpward sprayingManual-KnapsackProtected Body</v>
      </c>
      <c r="B286" s="127" t="s">
        <v>508</v>
      </c>
      <c r="C286" s="127" t="s">
        <v>500</v>
      </c>
      <c r="D286" s="127" t="s">
        <v>505</v>
      </c>
      <c r="E286" s="127" t="s">
        <v>504</v>
      </c>
      <c r="F286" s="127" t="s">
        <v>502</v>
      </c>
      <c r="G286" s="393"/>
      <c r="H286" s="393"/>
      <c r="I286" s="393"/>
      <c r="J286" s="393">
        <v>25</v>
      </c>
      <c r="K286" s="393"/>
      <c r="L286" s="393"/>
      <c r="M286" s="393"/>
      <c r="N286" s="393">
        <v>103</v>
      </c>
      <c r="O286" s="393">
        <v>4.6500000000000004</v>
      </c>
      <c r="P286" s="393"/>
      <c r="Q286" s="393">
        <v>-1.64</v>
      </c>
      <c r="R286" s="393"/>
      <c r="S286" s="393">
        <v>5.27</v>
      </c>
      <c r="T286" s="393"/>
      <c r="U286" s="393">
        <v>-1.99</v>
      </c>
      <c r="V286" s="393"/>
    </row>
    <row r="287" spans="1:22">
      <c r="A287" s="130" t="str">
        <f t="shared" si="5"/>
        <v>OutdoorWettable powder, soluble powderUpward sprayingManual-KnapsackProtected Body</v>
      </c>
      <c r="B287" s="127" t="s">
        <v>508</v>
      </c>
      <c r="C287" s="127" t="s">
        <v>501</v>
      </c>
      <c r="D287" s="127" t="s">
        <v>505</v>
      </c>
      <c r="E287" s="127" t="s">
        <v>504</v>
      </c>
      <c r="F287" s="127" t="s">
        <v>502</v>
      </c>
      <c r="G287" s="393"/>
      <c r="H287" s="393"/>
      <c r="I287" s="393"/>
      <c r="J287" s="393">
        <v>25</v>
      </c>
      <c r="K287" s="393"/>
      <c r="L287" s="393"/>
      <c r="M287" s="393"/>
      <c r="N287" s="393">
        <v>103</v>
      </c>
      <c r="O287" s="393">
        <v>4.6500000000000004</v>
      </c>
      <c r="P287" s="393"/>
      <c r="Q287" s="393">
        <v>-1.64</v>
      </c>
      <c r="R287" s="393"/>
      <c r="S287" s="393">
        <v>5.27</v>
      </c>
      <c r="T287" s="393"/>
      <c r="U287" s="393">
        <v>-1.99</v>
      </c>
      <c r="V287" s="393"/>
    </row>
    <row r="288" spans="1:22">
      <c r="A288" s="130" t="str">
        <f t="shared" si="5"/>
        <v>OutdoorSoluble concentrates, emulsifiable concentrate, etc.Upward sprayingManual-KnapsackProtected Hands</v>
      </c>
      <c r="B288" s="127" t="s">
        <v>508</v>
      </c>
      <c r="C288" s="127" t="s">
        <v>497</v>
      </c>
      <c r="D288" s="127" t="s">
        <v>505</v>
      </c>
      <c r="E288" s="127" t="s">
        <v>504</v>
      </c>
      <c r="F288" s="127" t="s">
        <v>503</v>
      </c>
      <c r="G288" s="393"/>
      <c r="H288" s="393"/>
      <c r="I288" s="393"/>
      <c r="J288" s="393">
        <v>21</v>
      </c>
      <c r="K288" s="393"/>
      <c r="L288" s="393"/>
      <c r="M288" s="393"/>
      <c r="N288" s="393">
        <v>164</v>
      </c>
      <c r="O288" s="393">
        <v>2.2599999999999998</v>
      </c>
      <c r="P288" s="393">
        <v>1</v>
      </c>
      <c r="Q288" s="393">
        <v>-0.88</v>
      </c>
      <c r="R288" s="393"/>
      <c r="S288" s="393">
        <v>2.61</v>
      </c>
      <c r="T288" s="393">
        <v>1</v>
      </c>
      <c r="U288" s="393">
        <v>-0.51</v>
      </c>
      <c r="V288" s="393"/>
    </row>
    <row r="289" spans="1:22">
      <c r="A289" s="130" t="str">
        <f t="shared" si="5"/>
        <v>OutdoorWettable granules, soluble granulesUpward sprayingManual-KnapsackProtected Hands</v>
      </c>
      <c r="B289" s="127" t="s">
        <v>508</v>
      </c>
      <c r="C289" s="127" t="s">
        <v>500</v>
      </c>
      <c r="D289" s="127" t="s">
        <v>505</v>
      </c>
      <c r="E289" s="127" t="s">
        <v>504</v>
      </c>
      <c r="F289" s="127" t="s">
        <v>503</v>
      </c>
      <c r="G289" s="393"/>
      <c r="H289" s="393"/>
      <c r="I289" s="393"/>
      <c r="J289" s="393">
        <v>21</v>
      </c>
      <c r="K289" s="393"/>
      <c r="L289" s="393"/>
      <c r="M289" s="393"/>
      <c r="N289" s="393">
        <v>164</v>
      </c>
      <c r="O289" s="393">
        <v>2.2599999999999998</v>
      </c>
      <c r="P289" s="393">
        <v>1</v>
      </c>
      <c r="Q289" s="393">
        <v>-0.88</v>
      </c>
      <c r="R289" s="393"/>
      <c r="S289" s="393">
        <v>2.61</v>
      </c>
      <c r="T289" s="393">
        <v>1</v>
      </c>
      <c r="U289" s="393">
        <v>-0.51</v>
      </c>
      <c r="V289" s="393"/>
    </row>
    <row r="290" spans="1:22">
      <c r="A290" s="130" t="str">
        <f t="shared" si="5"/>
        <v>OutdoorWettable powder, soluble powderUpward sprayingManual-KnapsackProtected Hands</v>
      </c>
      <c r="B290" s="127" t="s">
        <v>508</v>
      </c>
      <c r="C290" s="127" t="s">
        <v>501</v>
      </c>
      <c r="D290" s="127" t="s">
        <v>505</v>
      </c>
      <c r="E290" s="127" t="s">
        <v>504</v>
      </c>
      <c r="F290" s="127" t="s">
        <v>503</v>
      </c>
      <c r="G290" s="393"/>
      <c r="H290" s="393"/>
      <c r="I290" s="393"/>
      <c r="J290" s="393">
        <v>21</v>
      </c>
      <c r="K290" s="393"/>
      <c r="L290" s="393"/>
      <c r="M290" s="393"/>
      <c r="N290" s="393">
        <v>164</v>
      </c>
      <c r="O290" s="393">
        <v>2.2599999999999998</v>
      </c>
      <c r="P290" s="393">
        <v>1</v>
      </c>
      <c r="Q290" s="393">
        <v>-0.88</v>
      </c>
      <c r="R290" s="393"/>
      <c r="S290" s="393">
        <v>2.61</v>
      </c>
      <c r="T290" s="393">
        <v>1</v>
      </c>
      <c r="U290" s="393">
        <v>-0.51</v>
      </c>
      <c r="V290" s="393"/>
    </row>
    <row r="291" spans="1:22">
      <c r="A291" s="130" t="str">
        <f t="shared" si="4"/>
        <v>OutdoorSoluble concentrates, emulsifiable concentrate, etc.Upward sprayingVehicle-mountedBody</v>
      </c>
      <c r="B291" s="127" t="s">
        <v>508</v>
      </c>
      <c r="C291" s="127" t="s">
        <v>497</v>
      </c>
      <c r="D291" s="127" t="s">
        <v>505</v>
      </c>
      <c r="E291" s="127" t="s">
        <v>509</v>
      </c>
      <c r="F291" s="127" t="s">
        <v>420</v>
      </c>
      <c r="G291" s="393">
        <v>3.04</v>
      </c>
      <c r="H291" s="393">
        <v>0.74</v>
      </c>
      <c r="I291" s="393">
        <v>0.52</v>
      </c>
      <c r="J291" s="393"/>
      <c r="K291" s="393">
        <v>3.87</v>
      </c>
      <c r="L291" s="393">
        <v>0.69</v>
      </c>
      <c r="M291" s="393">
        <v>0.72</v>
      </c>
      <c r="N291" s="393"/>
      <c r="O291" s="393">
        <v>3.47</v>
      </c>
      <c r="P291" s="393">
        <v>1</v>
      </c>
      <c r="Q291" s="393">
        <v>0.48</v>
      </c>
      <c r="R291" s="393"/>
      <c r="S291" s="393">
        <v>3.92</v>
      </c>
      <c r="T291" s="393">
        <v>1</v>
      </c>
      <c r="U291" s="393">
        <v>0.79</v>
      </c>
      <c r="V291" s="393"/>
    </row>
    <row r="292" spans="1:22">
      <c r="A292" s="130" t="str">
        <f t="shared" si="4"/>
        <v>OutdoorSoluble concentrates, emulsifiable concentrate, etc.Upward sprayingVehicle-mountedHands</v>
      </c>
      <c r="B292" s="127" t="s">
        <v>508</v>
      </c>
      <c r="C292" s="127" t="s">
        <v>497</v>
      </c>
      <c r="D292" s="127" t="s">
        <v>505</v>
      </c>
      <c r="E292" s="127" t="s">
        <v>509</v>
      </c>
      <c r="F292" s="127" t="s">
        <v>418</v>
      </c>
      <c r="G292" s="393">
        <v>3.27</v>
      </c>
      <c r="H292" s="393">
        <v>0.64</v>
      </c>
      <c r="I292" s="393">
        <v>0.64</v>
      </c>
      <c r="J292" s="393"/>
      <c r="K292" s="393">
        <v>3.74</v>
      </c>
      <c r="L292" s="393">
        <v>0.69</v>
      </c>
      <c r="M292" s="393">
        <v>0.71</v>
      </c>
      <c r="N292" s="393"/>
      <c r="O292" s="393">
        <v>3.12</v>
      </c>
      <c r="P292" s="393">
        <v>0.89</v>
      </c>
      <c r="Q292" s="393">
        <v>0.28000000000000003</v>
      </c>
      <c r="R292" s="393"/>
      <c r="S292" s="393">
        <v>3.32</v>
      </c>
      <c r="T292" s="393">
        <v>1</v>
      </c>
      <c r="U292" s="393">
        <v>0.48</v>
      </c>
      <c r="V292" s="393"/>
    </row>
    <row r="293" spans="1:22">
      <c r="A293" s="130" t="str">
        <f t="shared" si="4"/>
        <v>OutdoorWettable granules, soluble granulesUpward sprayingVehicle-mountedBody</v>
      </c>
      <c r="B293" s="127" t="s">
        <v>508</v>
      </c>
      <c r="C293" s="127" t="s">
        <v>500</v>
      </c>
      <c r="D293" s="127" t="s">
        <v>505</v>
      </c>
      <c r="E293" s="127" t="s">
        <v>509</v>
      </c>
      <c r="F293" s="127" t="s">
        <v>420</v>
      </c>
      <c r="G293" s="393">
        <v>3.04</v>
      </c>
      <c r="H293" s="393">
        <v>0.74</v>
      </c>
      <c r="I293" s="393"/>
      <c r="J293" s="393"/>
      <c r="K293" s="393">
        <v>3.87</v>
      </c>
      <c r="L293" s="393">
        <v>0.69</v>
      </c>
      <c r="M293" s="393"/>
      <c r="N293" s="393"/>
      <c r="O293" s="393">
        <v>3.47</v>
      </c>
      <c r="P293" s="393">
        <v>1</v>
      </c>
      <c r="Q293" s="393">
        <v>0.48</v>
      </c>
      <c r="R293" s="393"/>
      <c r="S293" s="393">
        <v>3.92</v>
      </c>
      <c r="T293" s="393">
        <v>1</v>
      </c>
      <c r="U293" s="393">
        <v>0.79</v>
      </c>
      <c r="V293" s="393"/>
    </row>
    <row r="294" spans="1:22">
      <c r="A294" s="130" t="str">
        <f t="shared" si="4"/>
        <v>OutdoorSoluble concentrates, emulsifiable concentrate, etc.Upward sprayingVehicle-mountedHead</v>
      </c>
      <c r="B294" s="127" t="s">
        <v>508</v>
      </c>
      <c r="C294" s="127" t="s">
        <v>497</v>
      </c>
      <c r="D294" s="127" t="s">
        <v>505</v>
      </c>
      <c r="E294" s="127" t="s">
        <v>509</v>
      </c>
      <c r="F294" s="127" t="s">
        <v>104</v>
      </c>
      <c r="G294" s="393">
        <v>1.46</v>
      </c>
      <c r="H294" s="393">
        <v>1</v>
      </c>
      <c r="I294" s="393">
        <f>0.34</f>
        <v>0.34</v>
      </c>
      <c r="J294" s="393"/>
      <c r="K294" s="393">
        <v>2.19</v>
      </c>
      <c r="L294" s="393">
        <v>1</v>
      </c>
      <c r="M294" s="393">
        <v>0.39</v>
      </c>
      <c r="N294" s="393"/>
      <c r="O294" s="393">
        <v>1.17</v>
      </c>
      <c r="P294" s="393">
        <v>1</v>
      </c>
      <c r="Q294" s="393">
        <v>1.89</v>
      </c>
      <c r="R294" s="393"/>
      <c r="S294" s="393">
        <v>2.29</v>
      </c>
      <c r="T294" s="393">
        <v>1</v>
      </c>
      <c r="U294" s="393">
        <v>1.56</v>
      </c>
      <c r="V294" s="393"/>
    </row>
    <row r="295" spans="1:22">
      <c r="A295" s="130" t="str">
        <f t="shared" si="4"/>
        <v>OutdoorSoluble concentrates, emulsifiable concentrate, etc.Upward sprayingVehicle-mountedInhalation</v>
      </c>
      <c r="B295" s="127" t="s">
        <v>508</v>
      </c>
      <c r="C295" s="127" t="s">
        <v>497</v>
      </c>
      <c r="D295" s="127" t="s">
        <v>505</v>
      </c>
      <c r="E295" s="127" t="s">
        <v>509</v>
      </c>
      <c r="F295" s="127" t="s">
        <v>109</v>
      </c>
      <c r="G295" s="393">
        <v>1.38</v>
      </c>
      <c r="H295" s="393">
        <v>0.38</v>
      </c>
      <c r="I295" s="393">
        <v>-0.87</v>
      </c>
      <c r="J295" s="393"/>
      <c r="K295" s="393">
        <v>1.81</v>
      </c>
      <c r="L295" s="393">
        <v>0.49</v>
      </c>
      <c r="M295" s="393">
        <v>-0.92</v>
      </c>
      <c r="N295" s="393"/>
      <c r="O295" s="393">
        <v>0.99</v>
      </c>
      <c r="P295" s="393">
        <v>0.56999999999999995</v>
      </c>
      <c r="Q295" s="393">
        <v>0.82</v>
      </c>
      <c r="R295" s="393"/>
      <c r="S295" s="393">
        <v>1.32</v>
      </c>
      <c r="T295" s="393">
        <v>1</v>
      </c>
      <c r="U295" s="393">
        <v>0.6</v>
      </c>
      <c r="V295" s="393"/>
    </row>
    <row r="296" spans="1:22">
      <c r="A296" s="130" t="str">
        <f t="shared" si="4"/>
        <v>OutdoorWettable granules, soluble granulesUpward sprayingVehicle-mountedHands</v>
      </c>
      <c r="B296" s="127" t="s">
        <v>508</v>
      </c>
      <c r="C296" s="127" t="s">
        <v>500</v>
      </c>
      <c r="D296" s="127" t="s">
        <v>505</v>
      </c>
      <c r="E296" s="127" t="s">
        <v>509</v>
      </c>
      <c r="F296" s="127" t="s">
        <v>418</v>
      </c>
      <c r="G296" s="393">
        <v>3.27</v>
      </c>
      <c r="H296" s="393">
        <v>0.64</v>
      </c>
      <c r="I296" s="393">
        <v>0</v>
      </c>
      <c r="J296" s="393"/>
      <c r="K296" s="393">
        <v>3.74</v>
      </c>
      <c r="L296" s="393">
        <v>0.69</v>
      </c>
      <c r="M296" s="393">
        <v>0</v>
      </c>
      <c r="N296" s="393"/>
      <c r="O296" s="393">
        <v>3.12</v>
      </c>
      <c r="P296" s="393">
        <v>0.89</v>
      </c>
      <c r="Q296" s="393">
        <v>0.28000000000000003</v>
      </c>
      <c r="R296" s="393"/>
      <c r="S296" s="393">
        <v>3.32</v>
      </c>
      <c r="T296" s="393">
        <v>1</v>
      </c>
      <c r="U296" s="393">
        <v>0.48</v>
      </c>
      <c r="V296" s="393"/>
    </row>
    <row r="297" spans="1:22">
      <c r="A297" s="130" t="str">
        <f t="shared" si="4"/>
        <v>OutdoorWettable granules, soluble granulesUpward sprayingVehicle-mountedHead</v>
      </c>
      <c r="B297" s="127" t="s">
        <v>508</v>
      </c>
      <c r="C297" s="127" t="s">
        <v>500</v>
      </c>
      <c r="D297" s="127" t="s">
        <v>505</v>
      </c>
      <c r="E297" s="127" t="s">
        <v>509</v>
      </c>
      <c r="F297" s="127" t="s">
        <v>104</v>
      </c>
      <c r="G297" s="393">
        <v>1.46</v>
      </c>
      <c r="H297" s="393">
        <v>1</v>
      </c>
      <c r="I297" s="393">
        <v>0</v>
      </c>
      <c r="J297" s="393"/>
      <c r="K297" s="393">
        <v>2.19</v>
      </c>
      <c r="L297" s="393">
        <v>1</v>
      </c>
      <c r="M297" s="393">
        <v>0</v>
      </c>
      <c r="N297" s="393"/>
      <c r="O297" s="393">
        <v>1.17</v>
      </c>
      <c r="P297" s="393">
        <v>1</v>
      </c>
      <c r="Q297" s="393">
        <v>1.89</v>
      </c>
      <c r="R297" s="393"/>
      <c r="S297" s="393">
        <v>2.29</v>
      </c>
      <c r="T297" s="393">
        <v>1</v>
      </c>
      <c r="U297" s="393">
        <v>1.56</v>
      </c>
      <c r="V297" s="393"/>
    </row>
    <row r="298" spans="1:22">
      <c r="A298" s="130" t="str">
        <f t="shared" si="4"/>
        <v>OutdoorWettable powder, soluble powderUpward sprayingVehicle-mountedHands</v>
      </c>
      <c r="B298" s="127" t="s">
        <v>508</v>
      </c>
      <c r="C298" s="127" t="s">
        <v>501</v>
      </c>
      <c r="D298" s="127" t="s">
        <v>505</v>
      </c>
      <c r="E298" s="127" t="s">
        <v>509</v>
      </c>
      <c r="F298" s="127" t="s">
        <v>418</v>
      </c>
      <c r="G298" s="393">
        <v>3.27</v>
      </c>
      <c r="H298" s="393">
        <v>0.64</v>
      </c>
      <c r="I298" s="393">
        <v>1.28</v>
      </c>
      <c r="J298" s="393"/>
      <c r="K298" s="393">
        <v>3.74</v>
      </c>
      <c r="L298" s="393">
        <v>0.69</v>
      </c>
      <c r="M298" s="393">
        <v>1.21</v>
      </c>
      <c r="N298" s="393"/>
      <c r="O298" s="393">
        <v>3.12</v>
      </c>
      <c r="P298" s="393">
        <v>0.89</v>
      </c>
      <c r="Q298" s="393">
        <v>0.28000000000000003</v>
      </c>
      <c r="R298" s="393"/>
      <c r="S298" s="393">
        <v>3.32</v>
      </c>
      <c r="T298" s="393">
        <v>1</v>
      </c>
      <c r="U298" s="393">
        <v>0.48</v>
      </c>
      <c r="V298" s="393"/>
    </row>
    <row r="299" spans="1:22">
      <c r="A299" s="130" t="str">
        <f t="shared" si="4"/>
        <v>OutdoorWettable granules, soluble granulesUpward sprayingVehicle-mountedInhalation</v>
      </c>
      <c r="B299" s="127" t="s">
        <v>508</v>
      </c>
      <c r="C299" s="127" t="s">
        <v>500</v>
      </c>
      <c r="D299" s="127" t="s">
        <v>505</v>
      </c>
      <c r="E299" s="127" t="s">
        <v>509</v>
      </c>
      <c r="F299" s="127" t="s">
        <v>109</v>
      </c>
      <c r="G299" s="393">
        <v>1.38</v>
      </c>
      <c r="H299" s="393">
        <v>0.38</v>
      </c>
      <c r="I299" s="393"/>
      <c r="J299" s="393"/>
      <c r="K299" s="393">
        <v>1.81</v>
      </c>
      <c r="L299" s="393">
        <v>0.49</v>
      </c>
      <c r="M299" s="393"/>
      <c r="N299" s="393"/>
      <c r="O299" s="393">
        <v>0.99</v>
      </c>
      <c r="P299" s="393">
        <v>0.56999999999999995</v>
      </c>
      <c r="Q299" s="393">
        <v>0.82</v>
      </c>
      <c r="R299" s="393"/>
      <c r="S299" s="393">
        <v>1.32</v>
      </c>
      <c r="T299" s="393">
        <v>1</v>
      </c>
      <c r="U299" s="393">
        <v>0.6</v>
      </c>
      <c r="V299" s="393"/>
    </row>
    <row r="300" spans="1:22">
      <c r="A300" s="130" t="str">
        <f t="shared" si="4"/>
        <v>OutdoorWettable powder, soluble powderUpward sprayingVehicle-mountedBody</v>
      </c>
      <c r="B300" s="127" t="s">
        <v>508</v>
      </c>
      <c r="C300" s="127" t="s">
        <v>501</v>
      </c>
      <c r="D300" s="127" t="s">
        <v>505</v>
      </c>
      <c r="E300" s="127" t="s">
        <v>509</v>
      </c>
      <c r="F300" s="127" t="s">
        <v>420</v>
      </c>
      <c r="G300" s="393">
        <v>3.04</v>
      </c>
      <c r="H300" s="393">
        <v>0.74</v>
      </c>
      <c r="I300" s="393">
        <v>1.85</v>
      </c>
      <c r="J300" s="393"/>
      <c r="K300" s="393">
        <v>3.87</v>
      </c>
      <c r="L300" s="393">
        <v>0.69</v>
      </c>
      <c r="M300" s="393">
        <v>1.29</v>
      </c>
      <c r="N300" s="393"/>
      <c r="O300" s="393">
        <v>3.47</v>
      </c>
      <c r="P300" s="393">
        <v>1</v>
      </c>
      <c r="Q300" s="393">
        <v>0.48</v>
      </c>
      <c r="R300" s="393"/>
      <c r="S300" s="393">
        <v>3.92</v>
      </c>
      <c r="T300" s="393">
        <v>1</v>
      </c>
      <c r="U300" s="393">
        <v>0.79</v>
      </c>
      <c r="V300" s="393"/>
    </row>
    <row r="301" spans="1:22">
      <c r="A301" s="130" t="str">
        <f t="shared" si="4"/>
        <v>OutdoorWettable granules, soluble granulesUpward sprayingVehicle-mountedProtected Body</v>
      </c>
      <c r="B301" s="127" t="s">
        <v>508</v>
      </c>
      <c r="C301" s="127" t="s">
        <v>500</v>
      </c>
      <c r="D301" s="127" t="s">
        <v>505</v>
      </c>
      <c r="E301" s="127" t="s">
        <v>509</v>
      </c>
      <c r="F301" s="127" t="s">
        <v>502</v>
      </c>
      <c r="G301" s="393">
        <v>1.58</v>
      </c>
      <c r="H301" s="393">
        <v>0.62</v>
      </c>
      <c r="I301" s="393"/>
      <c r="J301" s="393"/>
      <c r="K301" s="393">
        <v>2.09</v>
      </c>
      <c r="L301" s="393">
        <v>0.78</v>
      </c>
      <c r="M301" s="393"/>
      <c r="N301" s="393"/>
      <c r="O301" s="393">
        <v>1.83</v>
      </c>
      <c r="P301" s="393">
        <v>1</v>
      </c>
      <c r="Q301" s="393">
        <v>0.23</v>
      </c>
      <c r="R301" s="393"/>
      <c r="S301" s="393">
        <v>2.21</v>
      </c>
      <c r="T301" s="393">
        <v>1</v>
      </c>
      <c r="U301" s="393">
        <v>0.15</v>
      </c>
      <c r="V301" s="393"/>
    </row>
    <row r="302" spans="1:22">
      <c r="A302" s="130" t="str">
        <f t="shared" si="4"/>
        <v>OutdoorWettable powder, soluble powderUpward sprayingVehicle-mountedInhalation</v>
      </c>
      <c r="B302" s="127" t="s">
        <v>508</v>
      </c>
      <c r="C302" s="127" t="s">
        <v>501</v>
      </c>
      <c r="D302" s="127" t="s">
        <v>505</v>
      </c>
      <c r="E302" s="127" t="s">
        <v>509</v>
      </c>
      <c r="F302" s="127" t="s">
        <v>109</v>
      </c>
      <c r="G302" s="393">
        <v>1.38</v>
      </c>
      <c r="H302" s="393">
        <v>0.38</v>
      </c>
      <c r="I302" s="393">
        <v>1.96</v>
      </c>
      <c r="J302" s="393"/>
      <c r="K302" s="393">
        <v>1.81</v>
      </c>
      <c r="L302" s="393">
        <v>0.49</v>
      </c>
      <c r="M302" s="393">
        <v>1.54</v>
      </c>
      <c r="N302" s="393"/>
      <c r="O302" s="393">
        <v>0.99</v>
      </c>
      <c r="P302" s="393">
        <v>0.56999999999999995</v>
      </c>
      <c r="Q302" s="393">
        <v>0.82</v>
      </c>
      <c r="R302" s="393"/>
      <c r="S302" s="393">
        <v>1.32</v>
      </c>
      <c r="T302" s="393">
        <v>1</v>
      </c>
      <c r="U302" s="393">
        <v>0.6</v>
      </c>
      <c r="V302" s="393"/>
    </row>
    <row r="303" spans="1:22">
      <c r="A303" s="130" t="str">
        <f t="shared" si="4"/>
        <v>OutdoorWettable granules, soluble granulesUpward sprayingVehicle-mountedProtected Hands</v>
      </c>
      <c r="B303" s="127" t="s">
        <v>508</v>
      </c>
      <c r="C303" s="127" t="s">
        <v>500</v>
      </c>
      <c r="D303" s="127" t="s">
        <v>505</v>
      </c>
      <c r="E303" s="127" t="s">
        <v>509</v>
      </c>
      <c r="F303" s="127" t="s">
        <v>503</v>
      </c>
      <c r="G303" s="393">
        <v>1.46</v>
      </c>
      <c r="H303" s="393">
        <v>0.46</v>
      </c>
      <c r="I303" s="393"/>
      <c r="J303" s="393"/>
      <c r="K303" s="393">
        <v>2.29</v>
      </c>
      <c r="L303" s="393">
        <v>0.53</v>
      </c>
      <c r="M303" s="393"/>
      <c r="N303" s="393"/>
      <c r="O303" s="393">
        <v>1.55</v>
      </c>
      <c r="P303" s="393">
        <v>1</v>
      </c>
      <c r="Q303" s="393"/>
      <c r="R303" s="393"/>
      <c r="S303" s="393">
        <v>2.88</v>
      </c>
      <c r="T303" s="393">
        <v>1</v>
      </c>
      <c r="U303" s="393">
        <v>0.08</v>
      </c>
      <c r="V303" s="393"/>
    </row>
    <row r="304" spans="1:22">
      <c r="A304" s="130" t="str">
        <f t="shared" si="4"/>
        <v>OutdoorWettable powder, soluble powderUpward sprayingVehicle-mountedProtected Body</v>
      </c>
      <c r="B304" s="127" t="s">
        <v>508</v>
      </c>
      <c r="C304" s="127" t="s">
        <v>501</v>
      </c>
      <c r="D304" s="127" t="s">
        <v>505</v>
      </c>
      <c r="E304" s="127" t="s">
        <v>509</v>
      </c>
      <c r="F304" s="127" t="s">
        <v>502</v>
      </c>
      <c r="G304" s="393">
        <v>1.58</v>
      </c>
      <c r="H304" s="393">
        <v>0.62</v>
      </c>
      <c r="I304" s="393">
        <v>1.84</v>
      </c>
      <c r="J304" s="393"/>
      <c r="K304" s="393">
        <v>2.09</v>
      </c>
      <c r="L304" s="393">
        <v>0.78</v>
      </c>
      <c r="M304" s="393">
        <v>1.58</v>
      </c>
      <c r="N304" s="393"/>
      <c r="O304" s="393">
        <v>1.83</v>
      </c>
      <c r="P304" s="393">
        <v>1</v>
      </c>
      <c r="Q304" s="393">
        <v>0.23</v>
      </c>
      <c r="R304" s="393"/>
      <c r="S304" s="393">
        <v>2.21</v>
      </c>
      <c r="T304" s="393">
        <v>1</v>
      </c>
      <c r="U304" s="393">
        <v>0.15</v>
      </c>
      <c r="V304" s="393"/>
    </row>
    <row r="305" spans="1:22">
      <c r="A305" s="130" t="str">
        <f t="shared" si="4"/>
        <v>OutdoorWettable powder, soluble powderUpward sprayingVehicle-mountedProtected Hands</v>
      </c>
      <c r="B305" s="127" t="s">
        <v>508</v>
      </c>
      <c r="C305" s="127" t="s">
        <v>501</v>
      </c>
      <c r="D305" s="127" t="s">
        <v>505</v>
      </c>
      <c r="E305" s="127" t="s">
        <v>509</v>
      </c>
      <c r="F305" s="127" t="s">
        <v>503</v>
      </c>
      <c r="G305" s="393">
        <v>1.46</v>
      </c>
      <c r="H305" s="393">
        <v>0.46</v>
      </c>
      <c r="I305" s="393">
        <v>1.66</v>
      </c>
      <c r="J305" s="393"/>
      <c r="K305" s="393">
        <v>2.29</v>
      </c>
      <c r="L305" s="393">
        <v>0.53</v>
      </c>
      <c r="M305" s="393">
        <v>1.39</v>
      </c>
      <c r="N305" s="393"/>
      <c r="O305" s="393">
        <v>1.55</v>
      </c>
      <c r="P305" s="393">
        <v>1</v>
      </c>
      <c r="Q305" s="393"/>
      <c r="R305" s="393"/>
      <c r="S305" s="393">
        <v>2.88</v>
      </c>
      <c r="T305" s="393">
        <v>1</v>
      </c>
      <c r="U305" s="393">
        <v>0.08</v>
      </c>
      <c r="V305" s="393"/>
    </row>
    <row r="306" spans="1:22">
      <c r="A306" s="130" t="str">
        <f t="shared" si="4"/>
        <v>OutdoorWettable powder, soluble powderUpward sprayingVehicle-mountedHead</v>
      </c>
      <c r="B306" s="127" t="s">
        <v>508</v>
      </c>
      <c r="C306" s="127" t="s">
        <v>501</v>
      </c>
      <c r="D306" s="127" t="s">
        <v>505</v>
      </c>
      <c r="E306" s="127" t="s">
        <v>509</v>
      </c>
      <c r="F306" s="127" t="s">
        <v>104</v>
      </c>
      <c r="G306" s="393">
        <v>1.46</v>
      </c>
      <c r="H306" s="393">
        <v>1</v>
      </c>
      <c r="I306" s="393">
        <v>0.7</v>
      </c>
      <c r="J306" s="393"/>
      <c r="K306" s="393">
        <v>2.19</v>
      </c>
      <c r="L306" s="393">
        <v>1</v>
      </c>
      <c r="M306" s="393">
        <v>0.11</v>
      </c>
      <c r="N306" s="393"/>
      <c r="O306" s="393">
        <v>1.17</v>
      </c>
      <c r="P306" s="393">
        <v>1</v>
      </c>
      <c r="Q306" s="393">
        <v>1.89</v>
      </c>
      <c r="R306" s="393"/>
      <c r="S306" s="393">
        <v>2.29</v>
      </c>
      <c r="T306" s="393">
        <v>1</v>
      </c>
      <c r="U306" s="393">
        <v>1.56</v>
      </c>
      <c r="V306" s="393"/>
    </row>
    <row r="307" spans="1:22">
      <c r="A307" s="130" t="str">
        <f t="shared" si="4"/>
        <v>OutdoorSoluble concentrates, emulsifiable concentrate, etc.Upward sprayingVehicle-mountedProtected Body</v>
      </c>
      <c r="B307" s="127" t="s">
        <v>508</v>
      </c>
      <c r="C307" s="127" t="s">
        <v>497</v>
      </c>
      <c r="D307" s="127" t="s">
        <v>505</v>
      </c>
      <c r="E307" s="127" t="s">
        <v>509</v>
      </c>
      <c r="F307" s="127" t="s">
        <v>502</v>
      </c>
      <c r="G307" s="393">
        <v>1.58</v>
      </c>
      <c r="H307" s="393">
        <v>0.62</v>
      </c>
      <c r="I307" s="393">
        <v>0.12</v>
      </c>
      <c r="J307" s="393"/>
      <c r="K307" s="393">
        <v>2.09</v>
      </c>
      <c r="L307" s="393">
        <v>0.78</v>
      </c>
      <c r="M307" s="393">
        <v>0.44</v>
      </c>
      <c r="N307" s="393"/>
      <c r="O307" s="393">
        <v>1.83</v>
      </c>
      <c r="P307" s="393">
        <v>1</v>
      </c>
      <c r="Q307" s="393">
        <v>0.23</v>
      </c>
      <c r="R307" s="393"/>
      <c r="S307" s="393">
        <v>2.21</v>
      </c>
      <c r="T307" s="393">
        <v>1</v>
      </c>
      <c r="U307" s="393">
        <v>0.15</v>
      </c>
      <c r="V307" s="393"/>
    </row>
    <row r="308" spans="1:22">
      <c r="A308" s="130" t="str">
        <f t="shared" si="4"/>
        <v>OutdoorSoluble concentrates, emulsifiable concentrate, etc.Upward sprayingVehicle-mountedProtected Hands</v>
      </c>
      <c r="B308" s="127" t="s">
        <v>508</v>
      </c>
      <c r="C308" s="127" t="s">
        <v>497</v>
      </c>
      <c r="D308" s="127" t="s">
        <v>505</v>
      </c>
      <c r="E308" s="127" t="s">
        <v>509</v>
      </c>
      <c r="F308" s="127" t="s">
        <v>503</v>
      </c>
      <c r="G308" s="393">
        <v>1.46</v>
      </c>
      <c r="H308" s="393">
        <v>0.46</v>
      </c>
      <c r="I308" s="393">
        <v>0.32</v>
      </c>
      <c r="J308" s="393"/>
      <c r="K308" s="393">
        <v>2.29</v>
      </c>
      <c r="L308" s="393">
        <v>0.53</v>
      </c>
      <c r="M308" s="393">
        <v>0.83</v>
      </c>
      <c r="N308" s="393"/>
      <c r="O308" s="393">
        <v>1.55</v>
      </c>
      <c r="P308" s="393">
        <v>1</v>
      </c>
      <c r="Q308" s="393"/>
      <c r="R308" s="393"/>
      <c r="S308" s="393">
        <v>2.88</v>
      </c>
      <c r="T308" s="393">
        <v>1</v>
      </c>
      <c r="U308" s="393">
        <v>0.08</v>
      </c>
      <c r="V308" s="393"/>
    </row>
    <row r="309" spans="1:22">
      <c r="A309" s="130" t="str">
        <f t="shared" si="4"/>
        <v>OutdoorSoluble concentrates, emulsifiable concentrate, etc.Upward sprayingVehicle-mounted-CabinBody</v>
      </c>
      <c r="B309" s="127" t="s">
        <v>508</v>
      </c>
      <c r="C309" s="127" t="s">
        <v>497</v>
      </c>
      <c r="D309" s="127" t="s">
        <v>505</v>
      </c>
      <c r="E309" s="127" t="s">
        <v>511</v>
      </c>
      <c r="F309" s="127" t="s">
        <v>420</v>
      </c>
      <c r="G309" s="393">
        <v>3.04</v>
      </c>
      <c r="H309" s="393">
        <v>0.74</v>
      </c>
      <c r="I309" s="393">
        <v>0.52</v>
      </c>
      <c r="J309" s="393"/>
      <c r="K309" s="393">
        <v>3.87</v>
      </c>
      <c r="L309" s="393">
        <v>0.69</v>
      </c>
      <c r="M309" s="393">
        <v>0.72</v>
      </c>
      <c r="N309" s="393"/>
      <c r="O309" s="393">
        <v>3.47</v>
      </c>
      <c r="P309" s="393">
        <v>1</v>
      </c>
      <c r="Q309" s="393"/>
      <c r="R309" s="393"/>
      <c r="S309" s="393">
        <v>3.92</v>
      </c>
      <c r="T309" s="393">
        <v>1</v>
      </c>
      <c r="U309" s="393"/>
      <c r="V309" s="393"/>
    </row>
    <row r="310" spans="1:22">
      <c r="A310" s="130" t="str">
        <f t="shared" si="4"/>
        <v>OutdoorSoluble concentrates, emulsifiable concentrate, etc.Upward sprayingVehicle-mounted-CabinHands</v>
      </c>
      <c r="B310" s="127" t="s">
        <v>508</v>
      </c>
      <c r="C310" s="127" t="s">
        <v>497</v>
      </c>
      <c r="D310" s="127" t="s">
        <v>505</v>
      </c>
      <c r="E310" s="127" t="s">
        <v>511</v>
      </c>
      <c r="F310" s="127" t="s">
        <v>418</v>
      </c>
      <c r="G310" s="393">
        <v>3.27</v>
      </c>
      <c r="H310" s="393">
        <v>0.64</v>
      </c>
      <c r="I310" s="393">
        <v>0.64</v>
      </c>
      <c r="J310" s="393"/>
      <c r="K310" s="393">
        <v>3.74</v>
      </c>
      <c r="L310" s="393">
        <v>0.69</v>
      </c>
      <c r="M310" s="393">
        <v>0.71</v>
      </c>
      <c r="N310" s="393"/>
      <c r="O310" s="393">
        <v>3.12</v>
      </c>
      <c r="P310" s="393">
        <v>0.89</v>
      </c>
      <c r="Q310" s="393"/>
      <c r="R310" s="393"/>
      <c r="S310" s="393">
        <v>3.32</v>
      </c>
      <c r="T310" s="393">
        <v>1</v>
      </c>
      <c r="U310" s="393"/>
      <c r="V310" s="393"/>
    </row>
    <row r="311" spans="1:22">
      <c r="A311" s="130" t="str">
        <f t="shared" si="4"/>
        <v>OutdoorSoluble concentrates, emulsifiable concentrate, etc.Upward sprayingVehicle-mounted-CabinHead</v>
      </c>
      <c r="B311" s="127" t="s">
        <v>508</v>
      </c>
      <c r="C311" s="127" t="s">
        <v>497</v>
      </c>
      <c r="D311" s="127" t="s">
        <v>505</v>
      </c>
      <c r="E311" s="127" t="s">
        <v>511</v>
      </c>
      <c r="F311" s="127" t="s">
        <v>104</v>
      </c>
      <c r="G311" s="393">
        <v>1.46</v>
      </c>
      <c r="H311" s="393">
        <v>1</v>
      </c>
      <c r="I311" s="393">
        <f>0.34</f>
        <v>0.34</v>
      </c>
      <c r="J311" s="393"/>
      <c r="K311" s="393">
        <v>2.19</v>
      </c>
      <c r="L311" s="393">
        <v>1</v>
      </c>
      <c r="M311" s="393">
        <v>0.39</v>
      </c>
      <c r="N311" s="393"/>
      <c r="O311" s="393">
        <v>1.17</v>
      </c>
      <c r="P311" s="393">
        <v>1</v>
      </c>
      <c r="Q311" s="393"/>
      <c r="R311" s="393"/>
      <c r="S311" s="393">
        <v>2.29</v>
      </c>
      <c r="T311" s="393">
        <v>1</v>
      </c>
      <c r="U311" s="393"/>
      <c r="V311" s="393"/>
    </row>
    <row r="312" spans="1:22">
      <c r="A312" s="130" t="str">
        <f t="shared" si="4"/>
        <v>OutdoorWettable granules, soluble granulesUpward sprayingVehicle-mounted-CabinBody</v>
      </c>
      <c r="B312" s="127" t="s">
        <v>508</v>
      </c>
      <c r="C312" s="127" t="s">
        <v>500</v>
      </c>
      <c r="D312" s="127" t="s">
        <v>505</v>
      </c>
      <c r="E312" s="127" t="s">
        <v>511</v>
      </c>
      <c r="F312" s="127" t="s">
        <v>420</v>
      </c>
      <c r="G312" s="393">
        <v>3.04</v>
      </c>
      <c r="H312" s="393">
        <v>0.74</v>
      </c>
      <c r="I312" s="393"/>
      <c r="J312" s="393"/>
      <c r="K312" s="393">
        <v>3.87</v>
      </c>
      <c r="L312" s="393">
        <v>0.69</v>
      </c>
      <c r="M312" s="393"/>
      <c r="N312" s="393"/>
      <c r="O312" s="393">
        <v>3.47</v>
      </c>
      <c r="P312" s="393">
        <v>1</v>
      </c>
      <c r="Q312" s="393"/>
      <c r="R312" s="393"/>
      <c r="S312" s="393">
        <v>3.92</v>
      </c>
      <c r="T312" s="393">
        <v>1</v>
      </c>
      <c r="U312" s="393"/>
      <c r="V312" s="393"/>
    </row>
    <row r="313" spans="1:22">
      <c r="A313" s="130" t="str">
        <f t="shared" si="4"/>
        <v>OutdoorWettable powder, soluble powderUpward sprayingVehicle-mounted-CabinBody</v>
      </c>
      <c r="B313" s="59" t="s">
        <v>508</v>
      </c>
      <c r="C313" s="59" t="s">
        <v>501</v>
      </c>
      <c r="D313" s="59" t="s">
        <v>505</v>
      </c>
      <c r="E313" s="127" t="s">
        <v>511</v>
      </c>
      <c r="F313" s="59" t="s">
        <v>420</v>
      </c>
      <c r="G313" s="393">
        <v>3.04</v>
      </c>
      <c r="H313" s="393">
        <v>0.74</v>
      </c>
      <c r="I313" s="393">
        <v>1.85</v>
      </c>
      <c r="J313" s="393"/>
      <c r="K313" s="393">
        <v>3.87</v>
      </c>
      <c r="L313" s="393">
        <v>0.69</v>
      </c>
      <c r="M313" s="393">
        <v>1.29</v>
      </c>
      <c r="N313" s="393"/>
      <c r="O313" s="393">
        <v>3.47</v>
      </c>
      <c r="P313" s="393">
        <v>1</v>
      </c>
      <c r="Q313" s="393"/>
      <c r="R313" s="393"/>
      <c r="S313" s="393">
        <v>3.92</v>
      </c>
      <c r="T313" s="393">
        <v>1</v>
      </c>
      <c r="U313" s="393"/>
      <c r="V313" s="393"/>
    </row>
    <row r="314" spans="1:22">
      <c r="A314" s="130" t="str">
        <f t="shared" si="4"/>
        <v>OutdoorWettable granules, soluble granulesUpward sprayingVehicle-mounted-CabinHands</v>
      </c>
      <c r="B314" s="127" t="s">
        <v>508</v>
      </c>
      <c r="C314" s="127" t="s">
        <v>500</v>
      </c>
      <c r="D314" s="127" t="s">
        <v>505</v>
      </c>
      <c r="E314" s="127" t="s">
        <v>511</v>
      </c>
      <c r="F314" s="127" t="s">
        <v>418</v>
      </c>
      <c r="G314" s="393">
        <v>3.27</v>
      </c>
      <c r="H314" s="393">
        <v>0.64</v>
      </c>
      <c r="I314" s="393">
        <v>0</v>
      </c>
      <c r="J314" s="393"/>
      <c r="K314" s="393">
        <v>3.74</v>
      </c>
      <c r="L314" s="393">
        <v>0.69</v>
      </c>
      <c r="M314" s="393">
        <v>0</v>
      </c>
      <c r="N314" s="393"/>
      <c r="O314" s="393">
        <v>3.12</v>
      </c>
      <c r="P314" s="393">
        <v>0.89</v>
      </c>
      <c r="Q314" s="393"/>
      <c r="R314" s="393"/>
      <c r="S314" s="393">
        <v>3.32</v>
      </c>
      <c r="T314" s="393">
        <v>1</v>
      </c>
      <c r="U314" s="393"/>
      <c r="V314" s="393"/>
    </row>
    <row r="315" spans="1:22">
      <c r="A315" s="130" t="str">
        <f t="shared" si="4"/>
        <v>OutdoorWettable powder, soluble powderUpward sprayingVehicle-mounted-CabinHands</v>
      </c>
      <c r="B315" s="59" t="s">
        <v>508</v>
      </c>
      <c r="C315" s="59" t="s">
        <v>501</v>
      </c>
      <c r="D315" s="59" t="s">
        <v>505</v>
      </c>
      <c r="E315" s="127" t="s">
        <v>511</v>
      </c>
      <c r="F315" s="59" t="s">
        <v>418</v>
      </c>
      <c r="G315" s="393">
        <v>3.27</v>
      </c>
      <c r="H315" s="393">
        <v>0.64</v>
      </c>
      <c r="I315" s="393">
        <v>1.28</v>
      </c>
      <c r="J315" s="393"/>
      <c r="K315" s="393">
        <v>3.74</v>
      </c>
      <c r="L315" s="393">
        <v>0.69</v>
      </c>
      <c r="M315" s="393">
        <v>1.21</v>
      </c>
      <c r="N315" s="393"/>
      <c r="O315" s="393">
        <v>3.12</v>
      </c>
      <c r="P315" s="393">
        <v>0.89</v>
      </c>
      <c r="Q315" s="393"/>
      <c r="R315" s="393"/>
      <c r="S315" s="393">
        <v>3.32</v>
      </c>
      <c r="T315" s="393">
        <v>1</v>
      </c>
      <c r="U315" s="393"/>
      <c r="V315" s="393"/>
    </row>
    <row r="316" spans="1:22">
      <c r="A316" s="130" t="str">
        <f t="shared" si="4"/>
        <v>OutdoorSoluble concentrates, emulsifiable concentrate, etc.Upward sprayingVehicle-mounted-CabinInhalation</v>
      </c>
      <c r="B316" s="127" t="s">
        <v>508</v>
      </c>
      <c r="C316" s="127" t="s">
        <v>497</v>
      </c>
      <c r="D316" s="127" t="s">
        <v>505</v>
      </c>
      <c r="E316" s="127" t="s">
        <v>511</v>
      </c>
      <c r="F316" s="127" t="s">
        <v>109</v>
      </c>
      <c r="G316" s="393">
        <v>1.38</v>
      </c>
      <c r="H316" s="393">
        <v>0.38</v>
      </c>
      <c r="I316" s="393">
        <v>-0.87</v>
      </c>
      <c r="J316" s="393"/>
      <c r="K316" s="393">
        <v>1.81</v>
      </c>
      <c r="L316" s="393">
        <v>0.49</v>
      </c>
      <c r="M316" s="393">
        <v>-0.92</v>
      </c>
      <c r="N316" s="393"/>
      <c r="O316" s="393">
        <v>0.99</v>
      </c>
      <c r="P316" s="393">
        <v>0.56999999999999995</v>
      </c>
      <c r="Q316" s="393"/>
      <c r="R316" s="393"/>
      <c r="S316" s="393">
        <v>1.32</v>
      </c>
      <c r="T316" s="393">
        <v>1</v>
      </c>
      <c r="U316" s="393"/>
      <c r="V316" s="393"/>
    </row>
    <row r="317" spans="1:22">
      <c r="A317" s="130" t="str">
        <f t="shared" si="4"/>
        <v>OutdoorWettable granules, soluble granulesUpward sprayingVehicle-mounted-CabinHead</v>
      </c>
      <c r="B317" s="127" t="s">
        <v>508</v>
      </c>
      <c r="C317" s="127" t="s">
        <v>500</v>
      </c>
      <c r="D317" s="127" t="s">
        <v>505</v>
      </c>
      <c r="E317" s="127" t="s">
        <v>511</v>
      </c>
      <c r="F317" s="127" t="s">
        <v>104</v>
      </c>
      <c r="G317" s="393">
        <v>1.46</v>
      </c>
      <c r="H317" s="393">
        <v>1</v>
      </c>
      <c r="I317" s="393">
        <v>0</v>
      </c>
      <c r="J317" s="393"/>
      <c r="K317" s="393">
        <v>2.19</v>
      </c>
      <c r="L317" s="393">
        <v>1</v>
      </c>
      <c r="M317" s="393">
        <v>0</v>
      </c>
      <c r="N317" s="393"/>
      <c r="O317" s="393">
        <v>1.17</v>
      </c>
      <c r="P317" s="393">
        <v>1</v>
      </c>
      <c r="Q317" s="393"/>
      <c r="R317" s="393"/>
      <c r="S317" s="393">
        <v>2.29</v>
      </c>
      <c r="T317" s="393">
        <v>1</v>
      </c>
      <c r="U317" s="393"/>
      <c r="V317" s="393"/>
    </row>
    <row r="318" spans="1:22">
      <c r="A318" s="130" t="str">
        <f t="shared" si="4"/>
        <v>OutdoorWettable powder, soluble powderUpward sprayingVehicle-mounted-CabinInhalation</v>
      </c>
      <c r="B318" s="59" t="s">
        <v>508</v>
      </c>
      <c r="C318" s="59" t="s">
        <v>501</v>
      </c>
      <c r="D318" s="59" t="s">
        <v>505</v>
      </c>
      <c r="E318" s="127" t="s">
        <v>511</v>
      </c>
      <c r="F318" s="59" t="s">
        <v>109</v>
      </c>
      <c r="G318" s="393">
        <v>1.38</v>
      </c>
      <c r="H318" s="393">
        <v>0.38</v>
      </c>
      <c r="I318" s="393">
        <v>1.96</v>
      </c>
      <c r="J318" s="393"/>
      <c r="K318" s="393">
        <v>1.81</v>
      </c>
      <c r="L318" s="393">
        <v>0.49</v>
      </c>
      <c r="M318" s="393">
        <v>1.54</v>
      </c>
      <c r="N318" s="393"/>
      <c r="O318" s="393">
        <v>0.99</v>
      </c>
      <c r="P318" s="393">
        <v>0.56999999999999995</v>
      </c>
      <c r="Q318" s="393"/>
      <c r="R318" s="393"/>
      <c r="S318" s="393">
        <v>1.32</v>
      </c>
      <c r="T318" s="393">
        <v>1</v>
      </c>
      <c r="U318" s="393"/>
      <c r="V318" s="393"/>
    </row>
    <row r="319" spans="1:22">
      <c r="A319" s="130" t="str">
        <f t="shared" si="4"/>
        <v>OutdoorWettable granules, soluble granulesUpward sprayingVehicle-mounted-CabinInhalation</v>
      </c>
      <c r="B319" s="127" t="s">
        <v>508</v>
      </c>
      <c r="C319" s="127" t="s">
        <v>500</v>
      </c>
      <c r="D319" s="127" t="s">
        <v>505</v>
      </c>
      <c r="E319" s="127" t="s">
        <v>511</v>
      </c>
      <c r="F319" s="127" t="s">
        <v>109</v>
      </c>
      <c r="G319" s="393">
        <v>1.38</v>
      </c>
      <c r="H319" s="393">
        <v>0.38</v>
      </c>
      <c r="I319" s="393"/>
      <c r="J319" s="393"/>
      <c r="K319" s="393">
        <v>1.81</v>
      </c>
      <c r="L319" s="393">
        <v>0.49</v>
      </c>
      <c r="M319" s="393"/>
      <c r="N319" s="393"/>
      <c r="O319" s="393">
        <v>0.99</v>
      </c>
      <c r="P319" s="393">
        <v>0.56999999999999995</v>
      </c>
      <c r="Q319" s="393"/>
      <c r="R319" s="393"/>
      <c r="S319" s="393">
        <v>1.32</v>
      </c>
      <c r="T319" s="393">
        <v>1</v>
      </c>
      <c r="U319" s="393"/>
      <c r="V319" s="393"/>
    </row>
    <row r="320" spans="1:22">
      <c r="A320" s="130" t="str">
        <f t="shared" si="4"/>
        <v>OutdoorWettable granules, soluble granulesUpward sprayingVehicle-mounted-CabinProtected Body</v>
      </c>
      <c r="B320" s="127" t="s">
        <v>508</v>
      </c>
      <c r="C320" s="127" t="s">
        <v>500</v>
      </c>
      <c r="D320" s="127" t="s">
        <v>505</v>
      </c>
      <c r="E320" s="127" t="s">
        <v>511</v>
      </c>
      <c r="F320" s="127" t="s">
        <v>502</v>
      </c>
      <c r="G320" s="393">
        <v>1.58</v>
      </c>
      <c r="H320" s="393">
        <v>0.62</v>
      </c>
      <c r="I320" s="393"/>
      <c r="J320" s="393"/>
      <c r="K320" s="393">
        <v>2.09</v>
      </c>
      <c r="L320" s="393">
        <v>0.78</v>
      </c>
      <c r="M320" s="393"/>
      <c r="N320" s="393"/>
      <c r="O320" s="393">
        <v>1.83</v>
      </c>
      <c r="P320" s="393">
        <v>1</v>
      </c>
      <c r="Q320" s="393"/>
      <c r="R320" s="393"/>
      <c r="S320" s="393">
        <v>2.21</v>
      </c>
      <c r="T320" s="393">
        <v>1</v>
      </c>
      <c r="U320" s="393"/>
      <c r="V320" s="393"/>
    </row>
    <row r="321" spans="1:22">
      <c r="A321" s="130" t="str">
        <f t="shared" si="4"/>
        <v>OutdoorWettable powder, soluble powderUpward sprayingVehicle-mounted-CabinProtected Body</v>
      </c>
      <c r="B321" s="59" t="s">
        <v>508</v>
      </c>
      <c r="C321" s="59" t="s">
        <v>501</v>
      </c>
      <c r="D321" s="59" t="s">
        <v>505</v>
      </c>
      <c r="E321" s="127" t="s">
        <v>511</v>
      </c>
      <c r="F321" s="59" t="s">
        <v>502</v>
      </c>
      <c r="G321" s="393">
        <v>1.58</v>
      </c>
      <c r="H321" s="393">
        <v>0.62</v>
      </c>
      <c r="I321" s="393">
        <v>1.84</v>
      </c>
      <c r="J321" s="393"/>
      <c r="K321" s="393">
        <v>2.09</v>
      </c>
      <c r="L321" s="393">
        <v>0.78</v>
      </c>
      <c r="M321" s="393">
        <v>1.58</v>
      </c>
      <c r="N321" s="393"/>
      <c r="O321" s="393">
        <v>1.83</v>
      </c>
      <c r="P321" s="393">
        <v>1</v>
      </c>
      <c r="Q321" s="393"/>
      <c r="R321" s="393"/>
      <c r="S321" s="393">
        <v>2.21</v>
      </c>
      <c r="T321" s="393">
        <v>1</v>
      </c>
      <c r="U321" s="393"/>
      <c r="V321" s="393"/>
    </row>
    <row r="322" spans="1:22">
      <c r="A322" s="130" t="str">
        <f t="shared" si="4"/>
        <v>OutdoorWettable powder, soluble powderUpward sprayingVehicle-mounted-CabinProtected Hands</v>
      </c>
      <c r="B322" s="59" t="s">
        <v>508</v>
      </c>
      <c r="C322" s="59" t="s">
        <v>501</v>
      </c>
      <c r="D322" s="59" t="s">
        <v>505</v>
      </c>
      <c r="E322" s="127" t="s">
        <v>511</v>
      </c>
      <c r="F322" s="59" t="s">
        <v>503</v>
      </c>
      <c r="G322" s="393">
        <v>1.46</v>
      </c>
      <c r="H322" s="393">
        <v>0.46</v>
      </c>
      <c r="I322" s="393">
        <v>1.66</v>
      </c>
      <c r="J322" s="393"/>
      <c r="K322" s="393">
        <v>2.29</v>
      </c>
      <c r="L322" s="393">
        <v>0.53</v>
      </c>
      <c r="M322" s="393">
        <v>1.39</v>
      </c>
      <c r="N322" s="393"/>
      <c r="O322" s="393">
        <v>1.55</v>
      </c>
      <c r="P322" s="393">
        <v>1</v>
      </c>
      <c r="Q322" s="393"/>
      <c r="R322" s="393"/>
      <c r="S322" s="393">
        <v>2.88</v>
      </c>
      <c r="T322" s="393">
        <v>1</v>
      </c>
      <c r="U322" s="393">
        <v>0.08</v>
      </c>
      <c r="V322" s="393"/>
    </row>
    <row r="323" spans="1:22">
      <c r="A323" s="130" t="str">
        <f t="shared" ref="A323:A326" si="6">B323&amp;C323&amp;D323&amp;E323&amp;F323</f>
        <v>OutdoorWettable granules, soluble granulesUpward sprayingVehicle-mounted-CabinProtected Hands</v>
      </c>
      <c r="B323" s="127" t="s">
        <v>508</v>
      </c>
      <c r="C323" s="127" t="s">
        <v>500</v>
      </c>
      <c r="D323" s="127" t="s">
        <v>505</v>
      </c>
      <c r="E323" s="127" t="s">
        <v>511</v>
      </c>
      <c r="F323" s="127" t="s">
        <v>503</v>
      </c>
      <c r="G323" s="393">
        <v>1.46</v>
      </c>
      <c r="H323" s="393">
        <v>0.46</v>
      </c>
      <c r="I323" s="393"/>
      <c r="J323" s="393"/>
      <c r="K323" s="393">
        <v>2.29</v>
      </c>
      <c r="L323" s="393">
        <v>0.53</v>
      </c>
      <c r="M323" s="393"/>
      <c r="N323" s="393"/>
      <c r="O323" s="393">
        <v>1.55</v>
      </c>
      <c r="P323" s="393">
        <v>1</v>
      </c>
      <c r="Q323" s="393"/>
      <c r="R323" s="393"/>
      <c r="S323" s="393">
        <v>2.88</v>
      </c>
      <c r="T323" s="393">
        <v>1</v>
      </c>
      <c r="U323" s="393">
        <v>0.08</v>
      </c>
      <c r="V323" s="393"/>
    </row>
    <row r="324" spans="1:22">
      <c r="A324" s="130" t="str">
        <f t="shared" si="6"/>
        <v>OutdoorWettable powder, soluble powderUpward sprayingVehicle-mounted-CabinHead</v>
      </c>
      <c r="B324" s="59" t="s">
        <v>508</v>
      </c>
      <c r="C324" s="59" t="s">
        <v>501</v>
      </c>
      <c r="D324" s="59" t="s">
        <v>505</v>
      </c>
      <c r="E324" s="127" t="s">
        <v>511</v>
      </c>
      <c r="F324" s="59" t="s">
        <v>104</v>
      </c>
      <c r="G324" s="393">
        <v>1.46</v>
      </c>
      <c r="H324" s="393">
        <v>1</v>
      </c>
      <c r="I324" s="393">
        <v>0.7</v>
      </c>
      <c r="J324" s="393"/>
      <c r="K324" s="393">
        <v>2.19</v>
      </c>
      <c r="L324" s="393">
        <v>1</v>
      </c>
      <c r="M324" s="393">
        <v>0.11</v>
      </c>
      <c r="N324" s="393"/>
      <c r="O324" s="393">
        <v>1.17</v>
      </c>
      <c r="P324" s="393">
        <v>1</v>
      </c>
      <c r="Q324" s="393"/>
      <c r="R324" s="393"/>
      <c r="S324" s="393">
        <v>2.29</v>
      </c>
      <c r="T324" s="393">
        <v>1</v>
      </c>
      <c r="U324" s="393"/>
      <c r="V324" s="393"/>
    </row>
    <row r="325" spans="1:22">
      <c r="A325" s="130" t="str">
        <f t="shared" si="6"/>
        <v>OutdoorSoluble concentrates, emulsifiable concentrate, etc.Upward sprayingVehicle-mounted-CabinProtected Body</v>
      </c>
      <c r="B325" s="127" t="s">
        <v>508</v>
      </c>
      <c r="C325" s="127" t="s">
        <v>497</v>
      </c>
      <c r="D325" s="127" t="s">
        <v>505</v>
      </c>
      <c r="E325" s="127" t="s">
        <v>511</v>
      </c>
      <c r="F325" s="127" t="s">
        <v>502</v>
      </c>
      <c r="G325" s="393">
        <v>1.58</v>
      </c>
      <c r="H325" s="393">
        <v>0.62</v>
      </c>
      <c r="I325" s="393">
        <v>0.12</v>
      </c>
      <c r="J325" s="393"/>
      <c r="K325" s="393">
        <v>2.09</v>
      </c>
      <c r="L325" s="393">
        <v>0.78</v>
      </c>
      <c r="M325" s="393">
        <v>0.44</v>
      </c>
      <c r="N325" s="393"/>
      <c r="O325" s="393">
        <v>1.83</v>
      </c>
      <c r="P325" s="393">
        <v>1</v>
      </c>
      <c r="Q325" s="393"/>
      <c r="R325" s="393"/>
      <c r="S325" s="393">
        <v>2.21</v>
      </c>
      <c r="T325" s="393">
        <v>1</v>
      </c>
      <c r="U325" s="393"/>
      <c r="V325" s="393"/>
    </row>
    <row r="326" spans="1:22">
      <c r="A326" s="130" t="str">
        <f t="shared" si="6"/>
        <v>OutdoorSoluble concentrates, emulsifiable concentrate, etc.Upward sprayingVehicle-mounted-CabinProtected Hands</v>
      </c>
      <c r="B326" s="127" t="s">
        <v>508</v>
      </c>
      <c r="C326" s="127" t="s">
        <v>497</v>
      </c>
      <c r="D326" s="127" t="s">
        <v>505</v>
      </c>
      <c r="E326" s="127" t="s">
        <v>511</v>
      </c>
      <c r="F326" s="127" t="s">
        <v>503</v>
      </c>
      <c r="G326" s="393">
        <v>1.46</v>
      </c>
      <c r="H326" s="393">
        <v>0.46</v>
      </c>
      <c r="I326" s="393">
        <v>0.32</v>
      </c>
      <c r="J326" s="393"/>
      <c r="K326" s="393">
        <v>2.29</v>
      </c>
      <c r="L326" s="393">
        <v>0.53</v>
      </c>
      <c r="M326" s="393">
        <v>0.83</v>
      </c>
      <c r="N326" s="393"/>
      <c r="O326" s="393">
        <v>1.55</v>
      </c>
      <c r="P326" s="393">
        <v>1</v>
      </c>
      <c r="Q326" s="393"/>
      <c r="R326" s="393"/>
      <c r="S326" s="393">
        <v>2.88</v>
      </c>
      <c r="T326" s="393">
        <v>1</v>
      </c>
      <c r="U326" s="393">
        <v>0.08</v>
      </c>
      <c r="V326" s="393"/>
    </row>
    <row r="333" spans="1:22">
      <c r="B333" s="40"/>
    </row>
  </sheetData>
  <sheetProtection algorithmName="SHA-512" hashValue="J1Jrq2c0QRWo40z/a0862LPTQeYP3aOOkvKpE3fskgibn/H1N3hpVaI2OujRFfjgPnoas4PbOkK2iD0iU0aV9g==" saltValue="lNvYoczc2wD0ffxhZHFwxg==" spinCount="100000" sheet="1" formatCells="0" formatColumns="0" formatRows="0" autoFilter="0"/>
  <pageMargins left="0.7" right="0.7" top="0.75" bottom="0.75" header="0.51180555555555496" footer="0.51180555555555496"/>
  <pageSetup paperSize="9" firstPageNumber="0" orientation="portrait" horizontalDpi="300" verticalDpi="300" r:id="rId1"/>
  <headerFooter>
    <oddFooter>&amp;C&amp;1#&amp;"Arial"&amp;10&amp;K000000---Internal Use---</oddFooter>
  </headerFooter>
  <legacyDrawing r:id="rId2"/>
  <tableParts count="1">
    <tablePart r:id="rId3"/>
  </tableParts>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AF69A1-A3D3-41D3-B732-DC9156C86B57}">
  <sheetPr codeName="Tabelle16"/>
  <dimension ref="A1:CL62"/>
  <sheetViews>
    <sheetView workbookViewId="0">
      <selection activeCell="T17" sqref="T17:T22"/>
    </sheetView>
  </sheetViews>
  <sheetFormatPr defaultColWidth="9.140625" defaultRowHeight="15"/>
  <cols>
    <col min="1" max="1" width="56.42578125" customWidth="1"/>
    <col min="2" max="2" width="18.85546875" customWidth="1"/>
    <col min="3" max="4" width="18.7109375" customWidth="1"/>
    <col min="5" max="5" width="18.7109375" hidden="1" customWidth="1"/>
    <col min="6" max="8" width="18.7109375" customWidth="1"/>
    <col min="9" max="17" width="18.7109375" hidden="1" customWidth="1"/>
    <col min="18" max="20" width="18.7109375" customWidth="1"/>
    <col min="21" max="21" width="18.7109375" hidden="1" customWidth="1"/>
    <col min="22" max="22" width="32.7109375" customWidth="1"/>
    <col min="25" max="25" width="91.5703125" bestFit="1" customWidth="1"/>
    <col min="30" max="30" width="58.28515625" bestFit="1" customWidth="1"/>
  </cols>
  <sheetData>
    <row r="1" spans="1:20" ht="19.5" thickBot="1">
      <c r="A1" s="22" t="str">
        <f>"Worker exposure from residues on foliage for "&amp;i_ProductName</f>
        <v xml:space="preserve">Worker exposure from residues on foliage for </v>
      </c>
    </row>
    <row r="2" spans="1:20" ht="15" customHeight="1">
      <c r="A2" s="456" t="s">
        <v>512</v>
      </c>
      <c r="B2" s="651" t="e">
        <f>i_CropType&amp;" ("&amp;INDEX(ay_Worker_activity, MATCH(sys_keyworker, key_worker_activity, 0), 3)&amp;")"</f>
        <v>#N/A</v>
      </c>
      <c r="C2" s="682"/>
      <c r="D2" s="683"/>
    </row>
    <row r="3" spans="1:20" ht="15" customHeight="1">
      <c r="A3" s="227" t="s">
        <v>513</v>
      </c>
      <c r="B3" s="230">
        <f>'Data entry'!D8</f>
        <v>0</v>
      </c>
      <c r="C3" s="587" t="s">
        <v>310</v>
      </c>
      <c r="D3" s="684" t="str">
        <f>i_ProdCat</f>
        <v>Other</v>
      </c>
    </row>
    <row r="4" spans="1:20" ht="15" customHeight="1">
      <c r="A4" s="227" t="s">
        <v>331</v>
      </c>
      <c r="B4" s="230">
        <f>i_AppMeth</f>
        <v>0</v>
      </c>
      <c r="C4" s="230"/>
      <c r="D4" s="286"/>
    </row>
    <row r="5" spans="1:20" ht="15" customHeight="1">
      <c r="A5" s="227" t="s">
        <v>332</v>
      </c>
      <c r="B5" s="230">
        <f>i_AppEquip</f>
        <v>0</v>
      </c>
      <c r="C5" s="230"/>
      <c r="D5" s="286"/>
    </row>
    <row r="6" spans="1:20" ht="29.25" customHeight="1">
      <c r="A6" s="227" t="s">
        <v>514</v>
      </c>
      <c r="B6" s="660">
        <f>i_activity</f>
        <v>0</v>
      </c>
      <c r="C6" s="587" t="s">
        <v>515</v>
      </c>
      <c r="D6" s="685">
        <f>i_TSF</f>
        <v>0</v>
      </c>
    </row>
    <row r="7" spans="1:20">
      <c r="A7" s="227" t="s">
        <v>516</v>
      </c>
      <c r="B7" s="660" t="e">
        <f>INDEX(ay_CropType,MATCH(i_CropType,key_CropType,0),6)</f>
        <v>#N/A</v>
      </c>
      <c r="C7" s="230"/>
      <c r="D7" s="286"/>
    </row>
    <row r="8" spans="1:20" ht="15" customHeight="1">
      <c r="A8" s="24" t="s">
        <v>517</v>
      </c>
      <c r="B8" s="230">
        <f>i_AppNo</f>
        <v>1</v>
      </c>
      <c r="C8" s="230"/>
      <c r="D8" s="287"/>
    </row>
    <row r="9" spans="1:20" ht="15" customHeight="1" thickBot="1">
      <c r="A9" s="451" t="s">
        <v>336</v>
      </c>
      <c r="B9" s="659">
        <f>i_AppInt</f>
        <v>365</v>
      </c>
      <c r="C9" s="686" t="s">
        <v>518</v>
      </c>
      <c r="D9" s="687"/>
    </row>
    <row r="10" spans="1:20" ht="15" customHeight="1">
      <c r="A10" s="448"/>
      <c r="B10" s="1003">
        <f>i_SubstName1</f>
        <v>0</v>
      </c>
      <c r="C10" s="1004"/>
      <c r="D10" s="1004"/>
      <c r="E10" s="1005"/>
      <c r="F10" s="1003">
        <f>i_SubstName2</f>
        <v>0</v>
      </c>
      <c r="G10" s="1004"/>
      <c r="H10" s="1004"/>
      <c r="I10" s="1005"/>
      <c r="J10" s="1003">
        <f>i_SubstName3</f>
        <v>0</v>
      </c>
      <c r="K10" s="1004"/>
      <c r="L10" s="1004"/>
      <c r="M10" s="1005"/>
      <c r="N10" s="1003">
        <f>i_SubstName4</f>
        <v>0</v>
      </c>
      <c r="O10" s="1004"/>
      <c r="P10" s="1004"/>
      <c r="Q10" s="1005"/>
      <c r="R10" s="422"/>
    </row>
    <row r="11" spans="1:20" ht="15" customHeight="1">
      <c r="A11" s="447" t="s">
        <v>519</v>
      </c>
      <c r="B11" s="999">
        <f>i_AppRateAS1</f>
        <v>0</v>
      </c>
      <c r="C11" s="1000"/>
      <c r="D11" s="1000"/>
      <c r="E11" s="1001"/>
      <c r="F11" s="869">
        <f>i_AppRateAS2</f>
        <v>0</v>
      </c>
      <c r="G11" s="1002"/>
      <c r="H11" s="1002"/>
      <c r="I11" s="870"/>
      <c r="J11" s="869">
        <f>i_AppRateAS3</f>
        <v>0</v>
      </c>
      <c r="K11" s="1002"/>
      <c r="L11" s="1002"/>
      <c r="M11" s="870"/>
      <c r="N11" s="869">
        <f>i_AppRateAS4</f>
        <v>0</v>
      </c>
      <c r="O11" s="1002"/>
      <c r="P11" s="1002"/>
      <c r="Q11" s="870"/>
      <c r="R11" s="296" t="s">
        <v>520</v>
      </c>
    </row>
    <row r="12" spans="1:20" ht="15" customHeight="1">
      <c r="A12" s="447" t="s">
        <v>521</v>
      </c>
      <c r="B12" s="869">
        <f>IF(i_DT50_1&gt;0,i_DT50_1,d_HalflifeAS1)</f>
        <v>30</v>
      </c>
      <c r="C12" s="1002"/>
      <c r="D12" s="1002"/>
      <c r="E12" s="870"/>
      <c r="F12" s="869">
        <f>IF(i_DT50_2&gt;0,i_DT50_2,d_HalflifeAS2)</f>
        <v>30</v>
      </c>
      <c r="G12" s="1002"/>
      <c r="H12" s="1002"/>
      <c r="I12" s="870"/>
      <c r="J12" s="869">
        <f>IF(i_DT50_3&gt;0,i_DT50_3,d_HalflifeAS3)</f>
        <v>30</v>
      </c>
      <c r="K12" s="1002"/>
      <c r="L12" s="1002"/>
      <c r="M12" s="870"/>
      <c r="N12" s="869">
        <f>IF(i_DT50_4&gt;0,i_DT50_4,d_HalflifeAS4)</f>
        <v>30</v>
      </c>
      <c r="O12" s="1002"/>
      <c r="P12" s="1002"/>
      <c r="Q12" s="870"/>
      <c r="R12" s="296" t="s">
        <v>522</v>
      </c>
    </row>
    <row r="13" spans="1:20" ht="15" customHeight="1">
      <c r="A13" s="447" t="s">
        <v>523</v>
      </c>
      <c r="B13" s="996">
        <v>30</v>
      </c>
      <c r="C13" s="997"/>
      <c r="D13" s="997"/>
      <c r="E13" s="998"/>
      <c r="F13" s="996">
        <v>30</v>
      </c>
      <c r="G13" s="997"/>
      <c r="H13" s="997"/>
      <c r="I13" s="998"/>
      <c r="J13" s="996">
        <v>30</v>
      </c>
      <c r="K13" s="997"/>
      <c r="L13" s="997"/>
      <c r="M13" s="998"/>
      <c r="N13" s="996">
        <v>30</v>
      </c>
      <c r="O13" s="997"/>
      <c r="P13" s="997"/>
      <c r="Q13" s="998"/>
      <c r="R13" s="296"/>
    </row>
    <row r="14" spans="1:20" ht="15" customHeight="1">
      <c r="A14" s="447" t="s">
        <v>524</v>
      </c>
      <c r="B14" s="996">
        <v>30</v>
      </c>
      <c r="C14" s="997"/>
      <c r="D14" s="997"/>
      <c r="E14" s="998"/>
      <c r="F14" s="996">
        <v>30</v>
      </c>
      <c r="G14" s="997"/>
      <c r="H14" s="997"/>
      <c r="I14" s="998"/>
      <c r="J14" s="996">
        <v>30</v>
      </c>
      <c r="K14" s="997"/>
      <c r="L14" s="997"/>
      <c r="M14" s="998"/>
      <c r="N14" s="996">
        <v>30</v>
      </c>
      <c r="O14" s="997"/>
      <c r="P14" s="997"/>
      <c r="Q14" s="998"/>
      <c r="R14" s="296"/>
      <c r="T14" s="458"/>
    </row>
    <row r="15" spans="1:20" ht="15" customHeight="1">
      <c r="A15" s="447" t="s">
        <v>405</v>
      </c>
      <c r="B15" s="1006">
        <f>i_AbsorpProduct1</f>
        <v>0</v>
      </c>
      <c r="C15" s="1007"/>
      <c r="D15" s="1007"/>
      <c r="E15" s="1008"/>
      <c r="F15" s="1006">
        <f>i_AbsorpProduct2</f>
        <v>0</v>
      </c>
      <c r="G15" s="1007"/>
      <c r="H15" s="1007"/>
      <c r="I15" s="1008"/>
      <c r="J15" s="1006">
        <f>i_AbsorpProduct3</f>
        <v>0</v>
      </c>
      <c r="K15" s="1007"/>
      <c r="L15" s="1007"/>
      <c r="M15" s="1008"/>
      <c r="N15" s="1006">
        <f>i_AbsorpProduct4</f>
        <v>0</v>
      </c>
      <c r="O15" s="1007"/>
      <c r="P15" s="1007"/>
      <c r="Q15" s="1008"/>
      <c r="R15" s="296" t="s">
        <v>406</v>
      </c>
      <c r="T15" s="458"/>
    </row>
    <row r="16" spans="1:20" ht="15" customHeight="1">
      <c r="A16" s="447" t="s">
        <v>525</v>
      </c>
      <c r="B16" s="1006">
        <f>i_AbsorpInuse1</f>
        <v>0</v>
      </c>
      <c r="C16" s="1007"/>
      <c r="D16" s="1007"/>
      <c r="E16" s="1008"/>
      <c r="F16" s="1006">
        <f>i_AbsorpInuse2</f>
        <v>0</v>
      </c>
      <c r="G16" s="1007"/>
      <c r="H16" s="1007"/>
      <c r="I16" s="1008"/>
      <c r="J16" s="1006">
        <f>i_AbsorpInuse3</f>
        <v>0</v>
      </c>
      <c r="K16" s="1007"/>
      <c r="L16" s="1007"/>
      <c r="M16" s="1008"/>
      <c r="N16" s="1006">
        <f>i_AbsorpInuse4</f>
        <v>0</v>
      </c>
      <c r="O16" s="1007"/>
      <c r="P16" s="1007"/>
      <c r="Q16" s="1008"/>
      <c r="R16" s="296" t="s">
        <v>526</v>
      </c>
    </row>
    <row r="17" spans="1:22" ht="15" customHeight="1">
      <c r="A17" s="447" t="s">
        <v>527</v>
      </c>
      <c r="B17" s="1006">
        <f>i_AbsorpInhalation1</f>
        <v>1</v>
      </c>
      <c r="C17" s="1007"/>
      <c r="D17" s="1007"/>
      <c r="E17" s="1008"/>
      <c r="F17" s="1006">
        <f>i_AbsorpInhalation2</f>
        <v>1</v>
      </c>
      <c r="G17" s="1007"/>
      <c r="H17" s="1007"/>
      <c r="I17" s="1008"/>
      <c r="J17" s="1006">
        <f>i_AbsorpInhalation3</f>
        <v>1</v>
      </c>
      <c r="K17" s="1007"/>
      <c r="L17" s="1007"/>
      <c r="M17" s="1008"/>
      <c r="N17" s="1006">
        <f>i_AbsorpInhalation4</f>
        <v>1</v>
      </c>
      <c r="O17" s="1007"/>
      <c r="P17" s="1007"/>
      <c r="Q17" s="1008"/>
      <c r="R17" s="296"/>
    </row>
    <row r="18" spans="1:22" ht="15" customHeight="1">
      <c r="A18" s="447" t="s">
        <v>528</v>
      </c>
      <c r="B18" s="869" t="str">
        <f>d_SVC1</f>
        <v>N/A</v>
      </c>
      <c r="C18" s="1002"/>
      <c r="D18" s="1002"/>
      <c r="E18" s="870"/>
      <c r="F18" s="1020" t="str">
        <f>d_SVC2</f>
        <v>N/A</v>
      </c>
      <c r="G18" s="1021"/>
      <c r="H18" s="1021"/>
      <c r="I18" s="1022"/>
      <c r="J18" s="1020" t="str">
        <f>d_SVC3</f>
        <v>N/A</v>
      </c>
      <c r="K18" s="1021"/>
      <c r="L18" s="1021"/>
      <c r="M18" s="1022"/>
      <c r="N18" s="1020" t="str">
        <f>d_SVC4</f>
        <v>N/A</v>
      </c>
      <c r="O18" s="1021"/>
      <c r="P18" s="1021"/>
      <c r="Q18" s="1022"/>
      <c r="R18" s="423" t="s">
        <v>529</v>
      </c>
    </row>
    <row r="19" spans="1:22" ht="15" customHeight="1">
      <c r="A19" s="447" t="s">
        <v>530</v>
      </c>
      <c r="B19" s="1036">
        <f>d_VC1</f>
        <v>1E-3</v>
      </c>
      <c r="C19" s="1037"/>
      <c r="D19" s="1037"/>
      <c r="E19" s="1038"/>
      <c r="F19" s="1036">
        <f>d_VC2</f>
        <v>1E-3</v>
      </c>
      <c r="G19" s="1037"/>
      <c r="H19" s="1037"/>
      <c r="I19" s="1038"/>
      <c r="J19" s="1036">
        <f>d_VC3</f>
        <v>1E-3</v>
      </c>
      <c r="K19" s="1037"/>
      <c r="L19" s="1037"/>
      <c r="M19" s="1038"/>
      <c r="N19" s="1036">
        <f>d_VC4</f>
        <v>1E-3</v>
      </c>
      <c r="O19" s="1037"/>
      <c r="P19" s="1037"/>
      <c r="Q19" s="1038"/>
      <c r="R19" s="296" t="s">
        <v>531</v>
      </c>
    </row>
    <row r="20" spans="1:22" ht="15" customHeight="1">
      <c r="A20" s="447" t="str">
        <f>IF(i_CropType&amp;i_activity="Amenity grasslandTurf harvesting, cutting and handling","Turf transferable residue (i_AppRate*d_Turf)","Dislodgeable foliar residue (i_AppRate*i_DFR)")&amp;" (μg a.s./cm²)"</f>
        <v>Dislodgeable foliar residue (i_AppRate*i_DFR) (μg a.s./cm²)</v>
      </c>
      <c r="B20" s="1030">
        <f>IF(LEFT(A20,4)="Turf",d_TTR1,d_DFR1)</f>
        <v>0</v>
      </c>
      <c r="C20" s="1031"/>
      <c r="D20" s="1031"/>
      <c r="E20" s="1032"/>
      <c r="F20" s="1030">
        <f>IF(LEFT(A20,4)="Turf",d_TTR2,d_DFR2)</f>
        <v>0</v>
      </c>
      <c r="G20" s="1031"/>
      <c r="H20" s="1031"/>
      <c r="I20" s="1032"/>
      <c r="J20" s="869">
        <f>IF(LEFT(A20,4)="Turf",d_TTR3,d_DFR3)</f>
        <v>0</v>
      </c>
      <c r="K20" s="1002"/>
      <c r="L20" s="1002"/>
      <c r="M20" s="870"/>
      <c r="N20" s="869">
        <f>IF(LEFT(A20,4)="Turf",d_TTR4,d_DFR4)</f>
        <v>0</v>
      </c>
      <c r="O20" s="1002"/>
      <c r="P20" s="1002"/>
      <c r="Q20" s="870"/>
      <c r="R20" s="296" t="str">
        <f>IF(LEFT(A20,4)="Turf","d_TTR","d_DFR")</f>
        <v>d_DFR</v>
      </c>
    </row>
    <row r="21" spans="1:22" ht="15" customHeight="1" thickBot="1">
      <c r="A21" s="449" t="s">
        <v>532</v>
      </c>
      <c r="B21" s="1033">
        <f>d_MAF1</f>
        <v>1</v>
      </c>
      <c r="C21" s="1034"/>
      <c r="D21" s="1034"/>
      <c r="E21" s="1035"/>
      <c r="F21" s="1033">
        <f>d_MAF2</f>
        <v>1</v>
      </c>
      <c r="G21" s="1034"/>
      <c r="H21" s="1034"/>
      <c r="I21" s="1035"/>
      <c r="J21" s="1023">
        <f>d_MAF3</f>
        <v>1</v>
      </c>
      <c r="K21" s="1024"/>
      <c r="L21" s="1024"/>
      <c r="M21" s="1025"/>
      <c r="N21" s="1023">
        <f>d_MAF4</f>
        <v>1</v>
      </c>
      <c r="O21" s="1024"/>
      <c r="P21" s="1024"/>
      <c r="Q21" s="1025"/>
      <c r="R21" s="297" t="s">
        <v>533</v>
      </c>
    </row>
    <row r="22" spans="1:22" ht="15" customHeight="1">
      <c r="A22" s="450" t="s">
        <v>316</v>
      </c>
      <c r="B22" s="1039" t="e" cm="1">
        <f t="array" ref="B22">INDEX(ay_Worker_activity, MATCH(sys_keyworker, key_worker_activity, 0), 6)</f>
        <v>#N/A</v>
      </c>
      <c r="C22" s="1040"/>
      <c r="D22" s="599" t="s">
        <v>317</v>
      </c>
      <c r="E22" s="293"/>
      <c r="F22" s="456"/>
      <c r="G22" s="269"/>
      <c r="H22" s="269"/>
      <c r="I22" s="269"/>
      <c r="J22" s="269"/>
      <c r="K22" s="269"/>
      <c r="L22" s="269"/>
      <c r="M22" s="269"/>
      <c r="N22" s="269"/>
      <c r="O22" s="269"/>
      <c r="P22" s="269"/>
      <c r="Q22" s="293"/>
      <c r="R22" s="294" t="s">
        <v>534</v>
      </c>
    </row>
    <row r="23" spans="1:22">
      <c r="A23" s="447" t="s">
        <v>319</v>
      </c>
      <c r="B23" s="971" t="e" cm="1">
        <f t="array" ref="B23">INDEX(ay_Worker_activity, MATCH(sys_keyworker, key_worker_activity, 0), 8)</f>
        <v>#N/A</v>
      </c>
      <c r="C23" s="972"/>
      <c r="D23" s="596" t="s">
        <v>320</v>
      </c>
      <c r="E23" s="286"/>
      <c r="F23" s="227"/>
      <c r="G23" s="676"/>
      <c r="H23" s="676"/>
      <c r="I23" s="676"/>
      <c r="J23" s="676"/>
      <c r="K23" s="676"/>
      <c r="L23" s="676"/>
      <c r="M23" s="676"/>
      <c r="N23" s="676"/>
      <c r="O23" s="676"/>
      <c r="P23" s="676"/>
      <c r="Q23" s="286"/>
      <c r="R23" s="295" t="s">
        <v>535</v>
      </c>
    </row>
    <row r="24" spans="1:22" ht="15" customHeight="1">
      <c r="A24" s="447" t="s">
        <v>322</v>
      </c>
      <c r="B24" s="971" t="e">
        <f>INDEX(ay_Worker_activity, MATCH(sys_keyworker, key_worker_activity, 0), 9)</f>
        <v>#N/A</v>
      </c>
      <c r="C24" s="972"/>
      <c r="D24" s="596" t="s">
        <v>320</v>
      </c>
      <c r="E24" s="286"/>
      <c r="F24" s="227"/>
      <c r="G24" s="596"/>
      <c r="H24" s="676"/>
      <c r="I24" s="676"/>
      <c r="J24" s="676"/>
      <c r="K24" s="676"/>
      <c r="L24" s="676"/>
      <c r="M24" s="676"/>
      <c r="N24" s="676"/>
      <c r="O24" s="676"/>
      <c r="P24" s="676"/>
      <c r="Q24" s="286"/>
      <c r="R24" s="295" t="s">
        <v>536</v>
      </c>
    </row>
    <row r="25" spans="1:22" ht="15" customHeight="1">
      <c r="A25" s="447" t="s">
        <v>324</v>
      </c>
      <c r="B25" s="971" t="e">
        <f>INDEX(ay_Worker_activity, MATCH(sys_keyworker, key_worker_activity, 0), 10)</f>
        <v>#N/A</v>
      </c>
      <c r="C25" s="972"/>
      <c r="D25" s="596" t="s">
        <v>320</v>
      </c>
      <c r="E25" s="286"/>
      <c r="F25" s="227"/>
      <c r="G25" s="676"/>
      <c r="H25" s="676"/>
      <c r="I25" s="676"/>
      <c r="J25" s="676"/>
      <c r="K25" s="676"/>
      <c r="L25" s="676"/>
      <c r="M25" s="676"/>
      <c r="N25" s="676"/>
      <c r="O25" s="676"/>
      <c r="P25" s="676"/>
      <c r="Q25" s="286"/>
      <c r="R25" s="295" t="s">
        <v>537</v>
      </c>
    </row>
    <row r="26" spans="1:22" ht="15" hidden="1" customHeight="1">
      <c r="A26" s="447" t="s">
        <v>327</v>
      </c>
      <c r="B26" s="1028" t="e">
        <f>INDEX(ay_Worker_activity, MATCH(sys_keyworker, key_worker_activity, 0), 11)</f>
        <v>#N/A</v>
      </c>
      <c r="C26" s="1029"/>
      <c r="D26" s="596" t="s">
        <v>320</v>
      </c>
      <c r="E26" s="286"/>
      <c r="F26" s="227"/>
      <c r="G26" s="676"/>
      <c r="H26" s="676"/>
      <c r="I26" s="676"/>
      <c r="J26" s="676"/>
      <c r="K26" s="676"/>
      <c r="L26" s="676"/>
      <c r="M26" s="676"/>
      <c r="N26" s="676"/>
      <c r="O26" s="676"/>
      <c r="P26" s="676"/>
      <c r="Q26" s="286"/>
      <c r="R26" s="295" t="s">
        <v>538</v>
      </c>
    </row>
    <row r="27" spans="1:22" ht="15" customHeight="1" thickBot="1">
      <c r="A27" s="449" t="s">
        <v>539</v>
      </c>
      <c r="B27" s="1026" t="e">
        <f>d_InhalTcManual</f>
        <v>#N/A</v>
      </c>
      <c r="C27" s="1027"/>
      <c r="D27" s="595" t="s">
        <v>540</v>
      </c>
      <c r="E27" s="242"/>
      <c r="F27" s="234"/>
      <c r="G27" s="595"/>
      <c r="H27" s="224"/>
      <c r="I27" s="224"/>
      <c r="J27" s="224"/>
      <c r="K27" s="224"/>
      <c r="L27" s="224"/>
      <c r="M27" s="224"/>
      <c r="N27" s="224"/>
      <c r="O27" s="224"/>
      <c r="P27" s="224"/>
      <c r="Q27" s="242"/>
      <c r="R27" s="297" t="s">
        <v>541</v>
      </c>
    </row>
    <row r="28" spans="1:22" ht="15" customHeight="1" thickBot="1"/>
    <row r="29" spans="1:22" ht="15" customHeight="1" thickBot="1">
      <c r="A29" s="44" t="s">
        <v>542</v>
      </c>
      <c r="B29" s="837">
        <f>i_SubstName1</f>
        <v>0</v>
      </c>
      <c r="C29" s="974"/>
      <c r="D29" s="974"/>
      <c r="E29" s="838"/>
      <c r="F29" s="837">
        <f>i_SubstName2</f>
        <v>0</v>
      </c>
      <c r="G29" s="974"/>
      <c r="H29" s="974"/>
      <c r="I29" s="838"/>
      <c r="J29" s="837">
        <f>i_SubstName3</f>
        <v>0</v>
      </c>
      <c r="K29" s="974"/>
      <c r="L29" s="974"/>
      <c r="M29" s="838"/>
      <c r="N29" s="837">
        <f>i_SubstName4</f>
        <v>0</v>
      </c>
      <c r="O29" s="974"/>
      <c r="P29" s="974"/>
      <c r="Q29" s="838"/>
      <c r="R29" s="837" t="s">
        <v>370</v>
      </c>
      <c r="S29" s="974"/>
      <c r="T29" s="974"/>
      <c r="U29" s="838"/>
      <c r="V29" s="1009" t="s">
        <v>543</v>
      </c>
    </row>
    <row r="30" spans="1:22" ht="30">
      <c r="A30" s="663"/>
      <c r="B30" s="656" t="s">
        <v>372</v>
      </c>
      <c r="C30" s="641" t="s">
        <v>378</v>
      </c>
      <c r="D30" s="641" t="s">
        <v>379</v>
      </c>
      <c r="E30" s="653" t="s">
        <v>380</v>
      </c>
      <c r="F30" s="656" t="s">
        <v>372</v>
      </c>
      <c r="G30" s="641" t="s">
        <v>378</v>
      </c>
      <c r="H30" s="641" t="s">
        <v>379</v>
      </c>
      <c r="I30" s="653" t="s">
        <v>380</v>
      </c>
      <c r="J30" s="656" t="s">
        <v>372</v>
      </c>
      <c r="K30" s="641" t="s">
        <v>378</v>
      </c>
      <c r="L30" s="641" t="s">
        <v>379</v>
      </c>
      <c r="M30" s="653" t="s">
        <v>380</v>
      </c>
      <c r="N30" s="656" t="s">
        <v>372</v>
      </c>
      <c r="O30" s="641" t="s">
        <v>378</v>
      </c>
      <c r="P30" s="641" t="s">
        <v>379</v>
      </c>
      <c r="Q30" s="653" t="s">
        <v>380</v>
      </c>
      <c r="R30" s="656" t="s">
        <v>372</v>
      </c>
      <c r="S30" s="641" t="s">
        <v>378</v>
      </c>
      <c r="T30" s="641" t="s">
        <v>379</v>
      </c>
      <c r="U30" s="653" t="s">
        <v>380</v>
      </c>
      <c r="V30" s="1010"/>
    </row>
    <row r="31" spans="1:22">
      <c r="A31" s="643" t="s">
        <v>544</v>
      </c>
      <c r="B31" s="670" t="str" cm="1">
        <f t="array" ref="B31">IFERROR(IF(LEFT(i_IndoorOutdoor,3)="Ind",IF(ISNUMBER(B38),SUM(B38,B42),"N/A"),IF(w_task="contact with treated soil",B38+B42,B38)),"N/A")</f>
        <v>N/A</v>
      </c>
      <c r="C31" s="738" t="str" cm="1">
        <f t="array" ref="C31">IF(LEFT(i_IndoorOutdoor,3)="Ind",IF(ISNUMBER(B39),SUM(B39,B42),"N/A"),IF(OR(i_AppMeth="Worker rentry -roof fogger",i_AppMeth="Worker rentry -low-volume-mist"),B39+B42,B39))</f>
        <v>N/A</v>
      </c>
      <c r="D31" s="671" t="str" cm="1">
        <f t="array" ref="D31">IF(LEFT(i_IndoorOutdoor,3)="Ind",IF(ISNUMBER(B40),SUM(B40,B42),"N/A"),IF(OR(i_AppMeth="Worker rentry -roof fogger",i_AppMeth="Worker rentry -low-volume-mist"),B40+B42,B40))</f>
        <v>N/A</v>
      </c>
      <c r="E31" s="671" t="str" cm="1">
        <f t="array" ref="E31">IF(LEFT(i_IndoorOutdoor,3)="Ind",IF(ISNUMBER(B41),SUM(B41,B42),"N/A"),IF(OR(i_AppMeth="Worker rentry -roof fogger",i_AppMeth="Worker rentry -low-volume-mist"),B41+B42,B41))</f>
        <v>N/A</v>
      </c>
      <c r="F31" s="670" t="str" cm="1">
        <f t="array" ref="F31">IFERROR(IF(LEFT(i_IndoorOutdoor,3)="Ind",IF(ISNUMBER(F38),SUM(F38,F42),"N/A"),IF(w_task="contact with treated soil",F38+F42,F38)),"N/A")</f>
        <v>N/A</v>
      </c>
      <c r="G31" s="671" t="str" cm="1">
        <f t="array" ref="G31">IF(LEFT(i_IndoorOutdoor,3)="Ind",IF(ISNUMBER(F39),SUM(F39,F42),"N/A"),IF(OR(i_AppMeth="Worker rentry -roof fogger",i_AppMeth="Worker rentry -low-volume-mist"),F39+F42,F39))</f>
        <v>N/A</v>
      </c>
      <c r="H31" s="671" t="str" cm="1">
        <f t="array" ref="H31">IF(LEFT(i_IndoorOutdoor,3)="Ind",IF(ISNUMBER(F40),SUM(F40,F42),"N/A"),IF(OR(i_AppMeth="Worker rentry -roof fogger",i_AppMeth="Worker rentry -low-volume-mist"),F40+F42,F40))</f>
        <v>N/A</v>
      </c>
      <c r="I31" s="671" t="str" cm="1">
        <f t="array" ref="I31">IF(LEFT(i_IndoorOutdoor,3)="Ind",IF(ISNUMBER(F41),SUM(F41,F42),"N/A"),IF(OR(i_AppMeth="Worker rentry -roof fogger",i_AppMeth="Worker rentry -low-volume-mist"),F41+F42,F41))</f>
        <v>N/A</v>
      </c>
      <c r="J31" s="670" t="str" cm="1">
        <f t="array" ref="J31">IFERROR(IF(LEFT(i_IndoorOutdoor,3)="Ind",IF(ISNUMBER(J38),SUM(J38,J42),"N/A"),IF(w_task="contact with treated soil",J38+J42,J38)),"N/A")</f>
        <v>N/A</v>
      </c>
      <c r="K31" s="671" t="str" cm="1">
        <f t="array" ref="K31">IF(LEFT(i_IndoorOutdoor,3)="Ind",IF(ISNUMBER(J39),SUM(J39,J42),"N/A"),IF(OR(i_AppMeth="Worker rentry -roof fogger",i_AppMeth="Worker rentry -low-volume-mist"),J39+J42,J39))</f>
        <v>N/A</v>
      </c>
      <c r="L31" s="671" t="str" cm="1">
        <f t="array" ref="L31">IF(LEFT(i_IndoorOutdoor,3)="Ind",IF(ISNUMBER(J40),SUM(J40,J42),"N/A"),IF(OR(i_AppMeth="Worker rentry -roof fogger",i_AppMeth="Worker rentry -low-volume-mist"),J40+J42,J40))</f>
        <v>N/A</v>
      </c>
      <c r="M31" s="671" t="str" cm="1">
        <f t="array" ref="M31">IF(LEFT(i_IndoorOutdoor,3)="Ind",IF(ISNUMBER(J41),SUM(J41,J42),"N/A"),IF(OR(i_AppMeth="Worker rentry -roof fogger",i_AppMeth="Worker rentry -low-volume-mist"),J41+J42,J41))</f>
        <v>N/A</v>
      </c>
      <c r="N31" s="670" t="str" cm="1">
        <f t="array" ref="N31">IFERROR(IF(LEFT(i_IndoorOutdoor,3)="Ind",IF(ISNUMBER(N38),SUM(N38,N42),"N/A"),IF(w_task="contact with treated soil",N38+N42,N38)),"N/A")</f>
        <v>N/A</v>
      </c>
      <c r="O31" s="671" t="str" cm="1">
        <f t="array" ref="O31">IF(LEFT(i_IndoorOutdoor,3)="Ind",IF(ISNUMBER(N39),SUM(N39,N42),"N/A"),IF(OR(i_AppMeth="Worker rentry -roof fogger",i_AppMeth="Worker rentry -low-volume-mist"),N39+N42,N39))</f>
        <v>N/A</v>
      </c>
      <c r="P31" s="671" t="str" cm="1">
        <f t="array" ref="P31">IF(LEFT(i_IndoorOutdoor,3)="Ind",IF(ISNUMBER(N40),SUM(N40,N42),"N/A"),IF(OR(i_AppMeth="Worker rentry -roof fogger",i_AppMeth="Worker rentry -low-volume-mist"),N40+N42,N40))</f>
        <v>N/A</v>
      </c>
      <c r="Q31" s="671" t="str" cm="1">
        <f t="array" ref="Q31">IF(LEFT(i_IndoorOutdoor,3)="Ind",IF(ISNUMBER(N41),SUM(N41,N42),"N/A"),IF(OR(i_AppMeth="Worker rentry -roof fogger",i_AppMeth="Worker rentry -low-volume-mist"),N41+N42,N41))</f>
        <v>N/A</v>
      </c>
      <c r="R31" s="1013" t="s">
        <v>371</v>
      </c>
      <c r="S31" s="1014"/>
      <c r="T31" s="1014"/>
      <c r="U31" s="1015"/>
      <c r="V31" s="1011" t="str" cm="1">
        <f t="array" ref="V31">IF(i_CropType="Bare soil","NA for treatment of bare soil",IF(AND(LEFT(i_IndoorOutdoor,3)="Ind",RIGHT(i_CropType,4)="tals"),"Calculation is based on inhalation exposure of task with the higher value",""))</f>
        <v/>
      </c>
    </row>
    <row r="32" spans="1:22">
      <c r="A32" s="643" t="s">
        <v>545</v>
      </c>
      <c r="B32" s="670" t="str">
        <f>IF(AND(ISNUMBER(B31),i_CropType&lt;&gt;"Bare soil"),B31/d_BwAdult,"N/A")</f>
        <v>N/A</v>
      </c>
      <c r="C32" s="671" t="str">
        <f>IF(AND(ISNUMBER(C31),i_CropType&lt;&gt;"Bare soil"),C31/d_BwAdult,"N/A")</f>
        <v>N/A</v>
      </c>
      <c r="D32" s="671" t="str">
        <f>IF(ISNUMBER(D31),D31/d_BwAdult,"N/A")</f>
        <v>N/A</v>
      </c>
      <c r="E32" s="671" t="str">
        <f>IF(ISNUMBER(E31),E31/d_BwAdult,"N/A")</f>
        <v>N/A</v>
      </c>
      <c r="F32" s="670" t="str">
        <f>IF(AND(ISNUMBER(F31),i_CropType&lt;&gt;"Bare soil"),F31/d_BwAdult,"N/A")</f>
        <v>N/A</v>
      </c>
      <c r="G32" s="671" t="str">
        <f>IF(AND(ISNUMBER(G31),i_CropType&lt;&gt;"Bare soil"),G31/d_BwAdult,"N/A")</f>
        <v>N/A</v>
      </c>
      <c r="H32" s="671" t="str">
        <f>IF(ISNUMBER(H31),H31/d_BwAdult,"N/A")</f>
        <v>N/A</v>
      </c>
      <c r="I32" s="671" t="str">
        <f>IF(ISNUMBER(I31),I31/d_BwAdult,"N/A")</f>
        <v>N/A</v>
      </c>
      <c r="J32" s="670" t="str">
        <f>IF(AND(ISNUMBER(J31),i_CropType&lt;&gt;"Bare soil"),J31/d_BwAdult,"N/A")</f>
        <v>N/A</v>
      </c>
      <c r="K32" s="671" t="str">
        <f>IF(AND(ISNUMBER(K31),i_CropType&lt;&gt;"Bare soil"),K31/d_BwAdult,"N/A")</f>
        <v>N/A</v>
      </c>
      <c r="L32" s="671" t="str">
        <f>IF(ISNUMBER(L31),L31/d_BwAdult,"N/A")</f>
        <v>N/A</v>
      </c>
      <c r="M32" s="671" t="str">
        <f>IF(ISNUMBER(M31),M31/d_BwAdult,"N/A")</f>
        <v>N/A</v>
      </c>
      <c r="N32" s="670" t="str">
        <f>IF(AND(ISNUMBER(N31),i_CropType&lt;&gt;"Bare soil"),N31/d_BwAdult,"N/A")</f>
        <v>N/A</v>
      </c>
      <c r="O32" s="671" t="str">
        <f>IF(AND(ISNUMBER(O31),i_CropType&lt;&gt;"Bare soil"),O31/d_BwAdult,"N/A")</f>
        <v>N/A</v>
      </c>
      <c r="P32" s="671" t="str">
        <f>IF(ISNUMBER(P31),P31/d_BwAdult,"N/A")</f>
        <v>N/A</v>
      </c>
      <c r="Q32" s="671" t="str">
        <f>IF(ISNUMBER(Q31),Q31/d_BwAdult,"N/A")</f>
        <v>N/A</v>
      </c>
      <c r="R32" s="1013"/>
      <c r="S32" s="1014"/>
      <c r="T32" s="1014"/>
      <c r="U32" s="1015"/>
      <c r="V32" s="1011" t="e">
        <f>IF(OR(i_AppMeth="Application of granules",i_CropType="Bare soil"),"",IF(AND(i_IndoorOutdoor="Indoor",i_CropType="Ornamentals"),#REF!+MAX(#REF!,#REF!),IF(AND(i_CropType&lt;&gt;"Ornamentals",OR(i_AppMeth="Gantry sprayer or roof fogger",i_AppMeth="Ultra low volume mist sprayer")),#REF!+#REF!,#REF!)))</f>
        <v>#REF!</v>
      </c>
    </row>
    <row r="33" spans="1:22" ht="31.5" customHeight="1" thickBot="1">
      <c r="A33" s="48" t="s">
        <v>442</v>
      </c>
      <c r="B33" s="431">
        <f>IFERROR(B32/i_AOEL1,0)</f>
        <v>0</v>
      </c>
      <c r="C33" s="432">
        <f>IFERROR(C32/i_AOEL1,0)</f>
        <v>0</v>
      </c>
      <c r="D33" s="432">
        <f>IFERROR(D32/i_AOEL1,0)</f>
        <v>0</v>
      </c>
      <c r="E33" s="433">
        <f>IFERROR(E32/i_AOEL1,0)</f>
        <v>0</v>
      </c>
      <c r="F33" s="431">
        <f>IFERROR(F32/i_AOEL2,0)</f>
        <v>0</v>
      </c>
      <c r="G33" s="432">
        <f>IFERROR(G32/i_AOEL2,0)</f>
        <v>0</v>
      </c>
      <c r="H33" s="432">
        <f>IFERROR(H32/i_AOEL2,0)</f>
        <v>0</v>
      </c>
      <c r="I33" s="432">
        <f>IFERROR(I32/i_AOEL2,0)</f>
        <v>0</v>
      </c>
      <c r="J33" s="431">
        <f>IFERROR(J32/i_AOEL3,0)</f>
        <v>0</v>
      </c>
      <c r="K33" s="432">
        <f>IFERROR(K32/i_AOEL3,0)</f>
        <v>0</v>
      </c>
      <c r="L33" s="432">
        <f>IFERROR(L32/i_AOEL3,0)</f>
        <v>0</v>
      </c>
      <c r="M33" s="432">
        <f>IFERROR(M32/i_AOEL3,0)</f>
        <v>0</v>
      </c>
      <c r="N33" s="431">
        <f>IFERROR(N32/i_AOEL4,0)</f>
        <v>0</v>
      </c>
      <c r="O33" s="432">
        <f>IFERROR(O32/i_AOEL4,0)</f>
        <v>0</v>
      </c>
      <c r="P33" s="432">
        <f>IFERROR(P32/i_AOEL4,0)</f>
        <v>0</v>
      </c>
      <c r="Q33" s="432">
        <f>IFERROR(Q32/i_AOEL4,0)</f>
        <v>0</v>
      </c>
      <c r="R33" s="600" t="str">
        <f>IF(OR(COUNTA('Data entry'!$D26:$G26)&lt;2,B31="N/A"),"N/A",IFERROR(FIXED(B33+F33+J33+N33,3),"N/A"))</f>
        <v>N/A</v>
      </c>
      <c r="S33" s="601" t="str">
        <f>IF(OR(COUNTA('Data entry'!$D26:$G26)&lt;2,C31="N/A"),"N/A",IFERROR(FIXED(C33+G33+K33+O33,3),"N/A"))</f>
        <v>N/A</v>
      </c>
      <c r="T33" s="601" t="str">
        <f>IF(OR(COUNTA('Data entry'!$D26:$G26)&lt;2,D31="N/A"),"N/A",IFERROR(FIXED(D33+H33+L33+P33,3),"N/A"))</f>
        <v>N/A</v>
      </c>
      <c r="U33" s="377" t="str">
        <f>IF(OR(COUNTA('Data entry'!$D26:$G26)&lt;2,E31="N/A"),"N/A",IFERROR(FIXED(E33+I33+M33+Q33,3),"N/A"))</f>
        <v>N/A</v>
      </c>
      <c r="V33" s="1012" t="e">
        <f>IF(OR(i_AppMeth="Application of granules",i_CropType="Bare soil"),"",IF(AND(i_IndoorOutdoor="Indoor",i_CropType="Ornamentals"),#REF!+MAX(#REF!,#REF!),IF(AND(i_CropType&lt;&gt;"Ornamentals",OR(i_AppMeth="Gantry sprayer or roof fogger",i_AppMeth="Ultra low volume mist sprayer")),#REF!+#REF!,#REF!)))</f>
        <v>#REF!</v>
      </c>
    </row>
    <row r="34" spans="1:22" ht="15" customHeight="1" thickBot="1"/>
    <row r="35" spans="1:22" ht="19.5" thickBot="1">
      <c r="A35" s="44" t="s">
        <v>546</v>
      </c>
      <c r="B35" s="937">
        <f>i_SubstName1</f>
        <v>0</v>
      </c>
      <c r="C35" s="938"/>
      <c r="F35" s="1018">
        <f>i_SubstName2</f>
        <v>0</v>
      </c>
      <c r="G35" s="1019"/>
      <c r="J35" s="937">
        <f>i_SubstName3</f>
        <v>0</v>
      </c>
      <c r="K35" s="938"/>
      <c r="N35" s="937">
        <f>i_SubstName4</f>
        <v>0</v>
      </c>
      <c r="O35" s="938"/>
    </row>
    <row r="36" spans="1:22" ht="15" customHeight="1" thickBot="1">
      <c r="A36" s="1016"/>
      <c r="B36" s="993" t="s">
        <v>547</v>
      </c>
      <c r="C36" s="973"/>
      <c r="F36" s="993" t="s">
        <v>547</v>
      </c>
      <c r="G36" s="973"/>
      <c r="J36" s="993" t="s">
        <v>547</v>
      </c>
      <c r="K36" s="973"/>
      <c r="M36" s="111"/>
      <c r="N36" s="993" t="s">
        <v>547</v>
      </c>
      <c r="O36" s="973"/>
      <c r="P36" s="99"/>
      <c r="Q36" s="111"/>
      <c r="R36" s="994" t="s">
        <v>543</v>
      </c>
    </row>
    <row r="37" spans="1:22" ht="18.75" customHeight="1">
      <c r="A37" s="1016"/>
      <c r="B37" s="656" t="s">
        <v>548</v>
      </c>
      <c r="C37" s="653" t="s">
        <v>549</v>
      </c>
      <c r="D37" s="212"/>
      <c r="E37" s="212"/>
      <c r="F37" s="656" t="s">
        <v>548</v>
      </c>
      <c r="G37" s="653" t="s">
        <v>549</v>
      </c>
      <c r="H37" s="212"/>
      <c r="I37" s="212"/>
      <c r="J37" s="656" t="s">
        <v>548</v>
      </c>
      <c r="K37" s="653" t="s">
        <v>549</v>
      </c>
      <c r="L37" s="212"/>
      <c r="M37" s="421"/>
      <c r="N37" s="654" t="s">
        <v>548</v>
      </c>
      <c r="O37" s="655" t="s">
        <v>549</v>
      </c>
      <c r="P37" s="348"/>
      <c r="Q37" s="421"/>
      <c r="R37" s="995"/>
    </row>
    <row r="38" spans="1:22">
      <c r="A38" s="208" t="s">
        <v>550</v>
      </c>
      <c r="B38" s="452" t="str">
        <f>IFERROR(IF(AND(i_FormVal&lt;&gt;"Granules, fine granules",w_task="contact with treated soil"),ConcSoil1*skinAdhSoil*d_HandSurface*i_AbsorpInuse1,d_DermTcUCV*d_WorkHr*B20*d_MAF1/1000*MAX(i_AbsorpProduct1,i_AbsorpInuse1)),"N/A")</f>
        <v>N/A</v>
      </c>
      <c r="C38" s="454" t="str">
        <f>IF(ISNUMBER(B38),B38/d_BwAdult,"N/A")</f>
        <v>N/A</v>
      </c>
      <c r="D38" s="455"/>
      <c r="E38" s="455"/>
      <c r="F38" s="452" t="str">
        <f>IFERROR(IF(AND(i_FormVal&lt;&gt;"Granules, fine granules",w_task="contact with treated soil"),ConcSoil2*skinAdhSoil*d_HandSurface*i_AbsorpInuse2,d_DermTcUCV*d_WorkHr*F20*d_MAF2/1000*MAX(i_AbsorpProduct2,i_AbsorpInuse2)),"N/A")</f>
        <v>N/A</v>
      </c>
      <c r="G38" s="454" t="str">
        <f>IF(ISNUMBER(F38),F38/d_BwAdult,"N/A")</f>
        <v>N/A</v>
      </c>
      <c r="H38" s="455"/>
      <c r="I38" s="455"/>
      <c r="J38" s="452" t="str">
        <f>IFERROR(IF(AND(i_FormVal&lt;&gt;"Granules, fine granules",w_task="contact with treated soil"),ConcSoil3*skinAdhSoil*d_HandSurface*i_AbsorpInuse3,d_DermTcUCV*d_WorkHr*J20*d_MAF3/1000*MAX(i_AbsorpProduct3,i_AbsorpInuse3)),"N/A")</f>
        <v>N/A</v>
      </c>
      <c r="K38" s="673" t="str">
        <f>IF(ISNUMBER(J38),J38/d_BwAdult,"N/A")</f>
        <v>N/A</v>
      </c>
      <c r="L38" s="455"/>
      <c r="M38" s="328"/>
      <c r="N38" s="452" t="str">
        <f>IFERROR(IF(AND(i_FormVal&lt;&gt;"Granules, fine granules",w_task="contact with treated soil"),ConcSoil4*skinAdhSoil*d_HandSurface*i_AbsorpInuse4,d_DermTcUCV*d_WorkHr*N20*d_MAF4/1000*MAX(i_AbsorpProduct4,i_AbsorpInuse4)),"N/A")</f>
        <v>N/A</v>
      </c>
      <c r="O38" s="673" t="str">
        <f>IF(ISNUMBER(N38),N38/d_BwAdult,"N/A")</f>
        <v>N/A</v>
      </c>
      <c r="P38" s="334"/>
      <c r="Q38" s="328"/>
      <c r="R38" s="657"/>
    </row>
    <row r="39" spans="1:22">
      <c r="A39" s="208" t="s">
        <v>551</v>
      </c>
      <c r="B39" s="739" t="str">
        <f>IFERROR(d_DermTcCV1*d_WorkHr*B20*d_MAF1/1000*MAX(i_AbsorpProduct1,i_AbsorpInuse1),"N/A")</f>
        <v>N/A</v>
      </c>
      <c r="C39" s="669" t="str">
        <f>IF(ISNUMBER(B39),B39/d_BwAdult,"N/A")</f>
        <v>N/A</v>
      </c>
      <c r="D39" s="455"/>
      <c r="E39" s="455"/>
      <c r="F39" s="668" t="str">
        <f>IFERROR(d_DermTcCV1*d_WorkHr*F20*d_MAF2/1000*MAX(i_AbsorpProduct2,i_AbsorpInuse2),"N/A")</f>
        <v>N/A</v>
      </c>
      <c r="G39" s="669" t="str">
        <f>IF(ISNUMBER(F39),F39/d_BwAdult,"N/A")</f>
        <v>N/A</v>
      </c>
      <c r="H39" s="455"/>
      <c r="I39" s="455"/>
      <c r="J39" s="668" t="str">
        <f>IFERROR(d_DermTcCV1*d_WorkHr*J20*d_MAF3/1000*MAX(i_AbsorpProduct3,i_AbsorpInuse3),"N/A")</f>
        <v>N/A</v>
      </c>
      <c r="K39" s="669" t="str">
        <f>IF(ISNUMBER(J39),J39/d_BwAdult,"N/A")</f>
        <v>N/A</v>
      </c>
      <c r="L39" s="455"/>
      <c r="M39" s="328"/>
      <c r="N39" s="668" t="str">
        <f>IFERROR(d_DermTcCV1*d_WorkHr*N20*d_MAF4/1000*MAX(i_AbsorpProduct4,i_AbsorpInuse4),"N/A")</f>
        <v>N/A</v>
      </c>
      <c r="O39" s="669" t="str">
        <f>IF(ISNUMBER(N39),N39/d_BwAdult,"N/A")</f>
        <v>N/A</v>
      </c>
      <c r="P39" s="334"/>
      <c r="Q39" s="328"/>
      <c r="R39" s="657"/>
    </row>
    <row r="40" spans="1:22">
      <c r="A40" s="208" t="s">
        <v>552</v>
      </c>
      <c r="B40" s="670" t="str">
        <f>IFERROR(d_DermTcCV2*d_WorkHr*B20*d_MAF1/1000*MAX(i_AbsorpProduct1,i_AbsorpInuse1),"N/A")</f>
        <v>N/A</v>
      </c>
      <c r="C40" s="669" t="str">
        <f>IF(ISNUMBER(B40),B40/d_BwAdult,"N/A")</f>
        <v>N/A</v>
      </c>
      <c r="D40" s="455"/>
      <c r="E40" s="455"/>
      <c r="F40" s="668" t="str">
        <f>IFERROR(d_DermTcCV2*d_WorkHr*F20*d_MAF2/1000*MAX(i_AbsorpProduct2,i_AbsorpInuse2),"N/A")</f>
        <v>N/A</v>
      </c>
      <c r="G40" s="669" t="str">
        <f>IF(ISNUMBER(F40),F40/d_BwAdult,"N/A")</f>
        <v>N/A</v>
      </c>
      <c r="H40" s="455"/>
      <c r="I40" s="455"/>
      <c r="J40" s="668" t="str">
        <f>IFERROR(d_DermTcCV2*d_WorkHr*J20*d_MAF3/1000*MAX(i_AbsorpProduct3,i_AbsorpInuse3),"N/A")</f>
        <v>N/A</v>
      </c>
      <c r="K40" s="669" t="str">
        <f>IF(ISNUMBER(J40),J40/d_BwAdult,"N/A")</f>
        <v>N/A</v>
      </c>
      <c r="L40" s="455"/>
      <c r="M40" s="328"/>
      <c r="N40" s="668" t="str">
        <f>IFERROR(d_DermTcCV2*d_WorkHr*N20*d_MAF4/1000*MAX(i_AbsorpProduct4,i_AbsorpInuse4),"N/A")</f>
        <v>N/A</v>
      </c>
      <c r="O40" s="669" t="str">
        <f>IF(ISNUMBER(N40),N40/d_BwAdult,"N/A")</f>
        <v>N/A</v>
      </c>
      <c r="P40" s="334"/>
      <c r="Q40" s="328"/>
      <c r="R40" s="657"/>
    </row>
    <row r="41" spans="1:22" hidden="1">
      <c r="A41" s="208" t="s">
        <v>553</v>
      </c>
      <c r="B41" s="668" t="str" cm="1">
        <f t="array" ref="B41">IFERROR(IF(i_FormVal="Granules, fine granules","N/A",d_DermTcCV3*d_WorkHr*B20*d_MAF1/1000*MAX(i_AbsorpProduct1,i_AbsorpInuse1)),"N/A")</f>
        <v>N/A</v>
      </c>
      <c r="C41" s="669" t="str">
        <f>IF(ISNUMBER(B41),B41/d_BwAdult,"N/A")</f>
        <v>N/A</v>
      </c>
      <c r="D41" s="455"/>
      <c r="E41" s="455"/>
      <c r="F41" s="668" t="str" cm="1">
        <f t="array" ref="F41">IFERROR(IF(i_FormVal="Granules, fine granules","N/A",d_DermTcCV3*d_WorkHr*F20*d_MAF2/1000*MAX(i_AbsorpProduct2,i_AbsorpInuse2)),"N/A")</f>
        <v>N/A</v>
      </c>
      <c r="G41" s="669" t="str">
        <f>IF(ISNUMBER(F41),F41/d_BwAdult,"N/A")</f>
        <v>N/A</v>
      </c>
      <c r="H41" s="455"/>
      <c r="I41" s="455"/>
      <c r="J41" s="668" t="str" cm="1">
        <f t="array" ref="J41">IFERROR(IF(i_FormVal="Granules, fine granules","N/A",d_DermTcCV3*d_WorkHr*J20*d_MAF3/1000*MAX(i_AbsorpProduct3,i_AbsorpInuse3)),"N/A")</f>
        <v>N/A</v>
      </c>
      <c r="K41" s="669" t="str">
        <f>IF(ISNUMBER(J41),J41/d_BwAdult,"N/A")</f>
        <v>N/A</v>
      </c>
      <c r="L41" s="455"/>
      <c r="M41" s="328"/>
      <c r="N41" s="668" t="str" cm="1">
        <f t="array" ref="N41">IFERROR(IF(i_FormVal="Granules, fine granules","N/A",d_DermTcCV3*d_WorkHr*N20*d_MAF4/1000*MAX(i_AbsorpProduct4,i_AbsorpInuse4)),"N/A")</f>
        <v>N/A</v>
      </c>
      <c r="O41" s="669" t="str">
        <f>IF(ISNUMBER(N41),N41/d_BwAdult,"N/A")</f>
        <v>N/A</v>
      </c>
      <c r="P41" s="334"/>
      <c r="Q41" s="328"/>
      <c r="R41" s="657"/>
    </row>
    <row r="42" spans="1:22" ht="33" customHeight="1" thickBot="1">
      <c r="A42" s="209" t="s">
        <v>109</v>
      </c>
      <c r="B42" s="426" cm="1">
        <f t="array" ref="B42">IFERROR(IF(w_task="contact with treated soil",conc_dust1*d_BreathWorker*d_WorkHr*i_AbsorpInhalation1,IF(AND(LEFT(i_IndoorOutdoor,3)="Ind",RIGHT(i_AppMeth,4)="ying"), i_AbsorpInhalation1*(d_VC1*d_WorkHr*d_BreathWorker+i_AppRateAS1*d_InhalTcManual*d_WorkHr),0)),0)</f>
        <v>0</v>
      </c>
      <c r="C42" s="427">
        <f>IF(ISNUMBER(B42),B42/d_BwAdult,"N/A")</f>
        <v>0</v>
      </c>
      <c r="D42" s="455"/>
      <c r="E42" s="455"/>
      <c r="F42" s="426" cm="1">
        <f t="array" ref="F42">IFERROR(IF(w_task="contact with treated soil",conc_dust2*d_BreathWorker*d_WorkHr*i_AbsorpInhalation2,IF(AND(LEFT(i_IndoorOutdoor,3)="Ind",RIGHT(i_AppMeth,4)="ying"), i_AbsorpInhalation2*(d_VC2*d_WorkHr*d_BreathWorker+i_AppRateAS2*d_InhalTcManual*d_WorkHr),0)),0)</f>
        <v>0</v>
      </c>
      <c r="G42" s="427">
        <f>IF(ISNUMBER(F42),F42/d_BwAdult,"N/A")</f>
        <v>0</v>
      </c>
      <c r="H42" s="455"/>
      <c r="I42" s="455"/>
      <c r="J42" s="426" cm="1">
        <f t="array" ref="J42">IFERROR(IF(w_task="contact with treated soil",conc_dust3*d_BreathWorker*d_WorkHr*i_AbsorpInhalation3,IF(AND(LEFT(i_IndoorOutdoor,3)="Ind",RIGHT(i_AppMeth,4)="ying"), i_AbsorpInhalation3*(d_VC3*d_WorkHr*d_BreathWorker+i_AppRateAS3*d_InhalTcManual*d_WorkHr),0)),0)</f>
        <v>0</v>
      </c>
      <c r="K42" s="427">
        <f>IF(ISNUMBER(J42),J42/d_BwAdult,"N/A")</f>
        <v>0</v>
      </c>
      <c r="L42" s="455"/>
      <c r="M42" s="328"/>
      <c r="N42" s="426" cm="1">
        <f t="array" ref="N42">IFERROR(IF(w_task="contact with treated soil",conc_dust4*d_BreathWorker*d_WorkHr*i_AbsorpInhalation4,IF(AND(LEFT(i_IndoorOutdoor,3)="Ind",RIGHT(i_AppMeth,4)="ying"), i_AbsorpInhalation4*(d_VC4*d_WorkHr*d_BreathWorker+i_AppRateAS4*d_InhalTcManual*d_WorkHr),0)),0)</f>
        <v>0</v>
      </c>
      <c r="O42" s="427">
        <f>IF(ISNUMBER(N42),N42/d_BwAdult,"N/A")</f>
        <v>0</v>
      </c>
      <c r="P42" s="334"/>
      <c r="Q42" s="328"/>
      <c r="R42" s="658" t="e">
        <f>IF(d_InhalTcManual="NA","No TSF available for this activity",IF(i_IndoorOutdoor="Outdoor","N/A for outdoor activities",IF(LEFT(i_IndoorOutdoor,3)="Ind", IF(AND(i_AppMeth&lt;&gt;"Worker rentry -roof fogger",i_AppMeth&lt;&gt;"Worker rentry -low-volume-mist"), "", IF(i_AppMeth="Worker rentry -roof fogger", "For re-entry 16 h after application",IF(i_AppMeth="Worker rentry -low-volume-mist","For re-entry 8 h after application",IF(AND(i_AppMeth&lt;&gt;"Worker rentry -roof fogger",i_AppMeth&lt;&gt;"Worker rentry -low-volume-mist"),"NA for non-automated applications")))))))</f>
        <v>#N/A</v>
      </c>
    </row>
    <row r="43" spans="1:22" ht="15" customHeight="1" thickBot="1">
      <c r="E43" s="327"/>
      <c r="I43" s="327"/>
      <c r="M43" s="327"/>
      <c r="Q43" s="327"/>
    </row>
    <row r="44" spans="1:22" ht="19.5" thickBot="1">
      <c r="A44" s="44" t="s">
        <v>554</v>
      </c>
      <c r="B44" s="837">
        <f>i_SubstName1</f>
        <v>0</v>
      </c>
      <c r="C44" s="974"/>
      <c r="D44" s="974"/>
      <c r="E44" s="838"/>
      <c r="F44" s="837">
        <f>i_SubstName2</f>
        <v>0</v>
      </c>
      <c r="G44" s="974"/>
      <c r="H44" s="974"/>
      <c r="I44" s="838"/>
      <c r="J44" s="837">
        <f>i_SubstName3</f>
        <v>0</v>
      </c>
      <c r="K44" s="974"/>
      <c r="L44" s="974"/>
      <c r="M44" s="838"/>
      <c r="N44" s="837">
        <f>i_SubstName4</f>
        <v>0</v>
      </c>
      <c r="O44" s="974"/>
      <c r="P44" s="974"/>
      <c r="Q44" s="838"/>
      <c r="R44" s="837" t="s">
        <v>370</v>
      </c>
      <c r="S44" s="974"/>
      <c r="T44" s="974"/>
      <c r="U44" s="838"/>
      <c r="V44" s="99"/>
    </row>
    <row r="45" spans="1:22" ht="15" customHeight="1" thickBot="1">
      <c r="A45" s="1016"/>
      <c r="B45" s="993" t="s">
        <v>372</v>
      </c>
      <c r="C45" s="839" t="s">
        <v>378</v>
      </c>
      <c r="D45" s="839" t="s">
        <v>379</v>
      </c>
      <c r="E45" s="973" t="s">
        <v>380</v>
      </c>
      <c r="F45" s="993" t="s">
        <v>372</v>
      </c>
      <c r="G45" s="839" t="s">
        <v>378</v>
      </c>
      <c r="H45" s="839" t="s">
        <v>379</v>
      </c>
      <c r="I45" s="973" t="s">
        <v>380</v>
      </c>
      <c r="J45" s="981" t="s">
        <v>372</v>
      </c>
      <c r="K45" s="983" t="s">
        <v>378</v>
      </c>
      <c r="L45" s="983" t="s">
        <v>379</v>
      </c>
      <c r="M45" s="985" t="s">
        <v>380</v>
      </c>
      <c r="N45" s="987" t="s">
        <v>372</v>
      </c>
      <c r="O45" s="989" t="s">
        <v>378</v>
      </c>
      <c r="P45" s="989" t="s">
        <v>379</v>
      </c>
      <c r="Q45" s="991" t="s">
        <v>380</v>
      </c>
      <c r="R45" s="993" t="s">
        <v>372</v>
      </c>
      <c r="S45" s="839" t="s">
        <v>378</v>
      </c>
      <c r="T45" s="983" t="s">
        <v>379</v>
      </c>
      <c r="U45" s="973" t="s">
        <v>380</v>
      </c>
      <c r="V45" s="1009" t="s">
        <v>543</v>
      </c>
    </row>
    <row r="46" spans="1:22" ht="15.75" customHeight="1">
      <c r="A46" s="1017"/>
      <c r="B46" s="993"/>
      <c r="C46" s="839"/>
      <c r="D46" s="839"/>
      <c r="E46" s="973"/>
      <c r="F46" s="993"/>
      <c r="G46" s="839"/>
      <c r="H46" s="839"/>
      <c r="I46" s="973"/>
      <c r="J46" s="982"/>
      <c r="K46" s="984"/>
      <c r="L46" s="984"/>
      <c r="M46" s="986"/>
      <c r="N46" s="988"/>
      <c r="O46" s="990"/>
      <c r="P46" s="990"/>
      <c r="Q46" s="992"/>
      <c r="R46" s="993"/>
      <c r="S46" s="839"/>
      <c r="T46" s="984"/>
      <c r="U46" s="973"/>
      <c r="V46" s="1010"/>
    </row>
    <row r="47" spans="1:22">
      <c r="A47" s="208" t="s">
        <v>555</v>
      </c>
      <c r="B47" s="452" t="str">
        <f>IFERROR(B38*EXP(-$R$50*LN(2)/IF(w_task="contact with treated soil",d_DT50soil1,d_HalflifeAS1))/d_BwAdult,"N/A")</f>
        <v>N/A</v>
      </c>
      <c r="C47" s="453" t="str">
        <f>IFERROR(B39*EXP(-$S$50*LN(2)/IF(w_task="contact with treated soil",d_DT50soil1,d_HalflifeAS1))/d_BwAdult,"N/A")</f>
        <v>N/A</v>
      </c>
      <c r="D47" s="453" t="str">
        <f>IFERROR(B40*EXP(-$T$50*LN(2)/IF(w_task="contact with treated soil",d_DT50soil1,d_HalflifeAS1))/d_BwAdult,"N/A")</f>
        <v>N/A</v>
      </c>
      <c r="E47" s="254" t="str">
        <f>IFERROR(B41*EXP(-$U$50*LN(2)/d_HalflifeAS1)/d_BwAdult,"N/A")</f>
        <v>N/A</v>
      </c>
      <c r="F47" s="452" t="str">
        <f>IFERROR(F38*EXP(-$R$50*LN(2)/IF(w_task="contact with treated soil",d_DT50soil2,d_HalflifeAS2))/d_BwAdult,"N/A")</f>
        <v>N/A</v>
      </c>
      <c r="G47" s="453" t="str">
        <f>IFERROR(F39*EXP(-$S$50*LN(2)/IF(w_task="contact with treated soil",d_DT50soil2,d_HalflifeAS2))/d_BwAdult,"N/A")</f>
        <v>N/A</v>
      </c>
      <c r="H47" s="453" t="str">
        <f>IFERROR(F40*EXP(-$T$50*LN(2)/IF(w_task="contact with treated soil",d_DT50soil2,d_HalflifeAS2))/d_BwAdult,"N/A")</f>
        <v>N/A</v>
      </c>
      <c r="I47" s="254" t="str">
        <f>IFERROR(F41*EXP(-$U$50*LN(2)/d_HalflifeAS2)/d_BwAdult,"N/A")</f>
        <v>N/A</v>
      </c>
      <c r="J47" s="670" t="str">
        <f>IFERROR(J38*EXP(-$R$50*LN(2)/IF(w_task="contact with treated soil",d_DT50soil3,d_HalflifeAS3))/d_BwAdult,"N/A")</f>
        <v>N/A</v>
      </c>
      <c r="K47" s="671" t="str">
        <f>IFERROR(J39*EXP(-$S$50*LN(2)/IF(w_task="contact with treated soil",d_DT50soil3,d_HalflifeAS3))/d_BwAdult,"N/A")</f>
        <v>N/A</v>
      </c>
      <c r="L47" s="671" t="str">
        <f>IFERROR(J40*EXP(-$T$50*LN(2)/IF(w_task="contact with treated soil",d_DT50soil3,d_HalflifeAS3))/d_BwAdult,"N/A")</f>
        <v>N/A</v>
      </c>
      <c r="M47" s="669" t="str">
        <f>IFERROR(J41*EXP(-$U$50*LN(2)/d_HalflifeAS3)/d_BwAdult,"N/A")</f>
        <v>N/A</v>
      </c>
      <c r="N47" s="670" t="str">
        <f>IFERROR(N38*EXP(-$R$50*LN(2)/IF(w_task="contact with treated soil",d_DT50soil4,d_HalflifeAS4))/d_BwAdult,"N/A")</f>
        <v>N/A</v>
      </c>
      <c r="O47" s="671" t="str">
        <f>IFERROR(N39*EXP(-$S$50*LN(2)/IF(w_task="contact with treated soil",d_DT50soil4,d_HalflifeAS4))/d_BwAdult,"N/A")</f>
        <v>N/A</v>
      </c>
      <c r="P47" s="671" t="str">
        <f>IFERROR(N40*EXP(-$T$50*LN(2)/IF(w_task="contact with treated soil",d_DT50soil4,d_HalflifeAS4))/d_BwAdult,"N/A")</f>
        <v>N/A</v>
      </c>
      <c r="Q47" s="669" t="str">
        <f>IFERROR(N41*EXP(-$U$50*LN(2)/d_HalflifeAS4)/d_BwAdult,"N/A")</f>
        <v>N/A</v>
      </c>
      <c r="R47" s="975" t="s">
        <v>371</v>
      </c>
      <c r="S47" s="976"/>
      <c r="T47" s="976"/>
      <c r="U47" s="977"/>
      <c r="V47" s="968" t="s">
        <v>556</v>
      </c>
    </row>
    <row r="48" spans="1:22" s="580" customFormat="1">
      <c r="A48" s="579" t="s">
        <v>557</v>
      </c>
      <c r="B48" s="581" cm="1">
        <f t="array" ref="B48">IFERROR(IF(w_task="contact with treated soil",conc_dust1*d_BreathWorker*d_WorkHr*i_AbsorpInhalation1*EXP(-$R$50*LN(2)/d_DT50soil1),IF(AND(LEFT(i_IndoorOutdoor,3)="Ind",RIGHT(i_AppMeth,4)="ying"), i_AbsorpInhalation1*(d_VC1*d_WorkHr*d_BreathWorker*EXP(-$R$50*LN(2)/d_DT50air1)+i_AppRateAS1*d_InhalTcManual*d_WorkHr*EXP(-$R$50*LN(2)/d_DT50soil1)),0)),0)/d_BwAdult</f>
        <v>0</v>
      </c>
      <c r="C48" s="582" cm="1">
        <f t="array" ref="C48">IFERROR(IF(w_task="contact with treated soil",conc_dust1*d_BreathWorker*d_WorkHr*i_AbsorpInhalation1*EXP(-$S$50*LN(2)/d_DT50soil1),IF(AND(LEFT(i_IndoorOutdoor,3)="Ind",RIGHT(i_AppMeth,4)="ying"), i_AbsorpInhalation1*(d_VC1*d_WorkHr*d_BreathWorker*EXP(-$S$50*LN(2)/d_DT50air1)+i_AppRateAS1*d_InhalTcManual*d_WorkHr*EXP(-$S$50*LN(2)/d_DT50soil1)),0)),0)/d_BwAdult</f>
        <v>0</v>
      </c>
      <c r="D48" s="582" cm="1">
        <f t="array" ref="D48">IFERROR(IF(w_task="contact with treated soil",conc_dust1*d_BreathWorker*d_WorkHr*i_AbsorpInhalation1*EXP(-$T$50*LN(2)/d_DT50soil1),IF(AND(LEFT(i_IndoorOutdoor,3)="Ind",RIGHT(i_AppMeth,4)="ying"), i_AbsorpInhalation1*(d_VC1*d_WorkHr*d_BreathWorker*EXP(-$T$50*LN(2)/d_DT50air1)+i_AppRateAS1*d_InhalTcManual*d_WorkHr*EXP(-$T$50*LN(2)/d_DT50soil1)),0)),0)/d_BwAdult</f>
        <v>0</v>
      </c>
      <c r="E48" s="583" cm="1">
        <f t="array" ref="E48">IFERROR(IF(w_task="contact with treated soil",conc_dust1*d_BreathWorker*d_WorkHr*i_AbsorpInhalation1*EXP(-$U$50*LN(2)/d_DT50soil1),IF(AND(LEFT(i_IndoorOutdoor,3)="Ind",RIGHT(i_AppMeth,4)="ying"), i_AbsorpInhalation1*(d_VC1*d_WorkHr*d_BreathWorker*EXP(-$U$50*LN(2)/d_DT50air1)+i_AppRateAS1*d_InhalTcManual*d_WorkHr*EXP(-$U$50*LN(2)/d_DT50soil1)),0)),0)/d_BwAdult</f>
        <v>0</v>
      </c>
      <c r="F48" s="581" cm="1">
        <f t="array" ref="F48">IFERROR(IF(w_task="contact with treated soil",conc_dust2*d_BreathWorker*d_WorkHr*i_AbsorpInhalation2*EXP(-$R$50*LN(2)/d_DT50soil2),IF(AND(LEFT(i_IndoorOutdoor,3)="Ind",RIGHT(i_AppMeth,4)="ying"), i_AbsorpInhalation2*(d_VC2*d_WorkHr*d_BreathWorker*EXP(-$R$50*LN(2)/d_DT50air2)+i_AppRateAS2*d_InhalTcManual*d_WorkHr*EXP(-$R$50*LN(2)/d_DT50soil2)),0)),0)/d_BwAdult</f>
        <v>0</v>
      </c>
      <c r="G48" s="582" cm="1">
        <f t="array" ref="G48">IFERROR(IF(w_task="contact with treated soil",conc_dust2*d_BreathWorker*d_WorkHr*i_AbsorpInhalation2*EXP(-$S$50*LN(2)/d_DT50soil2),IF(AND(LEFT(i_IndoorOutdoor,3)="Ind",RIGHT(i_AppMeth,4)="ying"), i_AbsorpInhalation2*(d_VC2*d_WorkHr*d_BreathWorker*EXP(-$S$50*LN(2)/d_DT50air2)+i_AppRateAS2*d_InhalTcManual*d_WorkHr*EXP(-$S$50*LN(2)/d_DT50soil2)),0)),0)/d_BwAdult</f>
        <v>0</v>
      </c>
      <c r="H48" s="582" cm="1">
        <f t="array" ref="H48">IFERROR(IF(w_task="contact with treated soil",conc_dust2*d_BreathWorker*d_WorkHr*i_AbsorpInhalation2*EXP(-$T$50*LN(2)/d_DT50soil2),IF(AND(LEFT(i_IndoorOutdoor,3)="Ind",RIGHT(i_AppMeth,4)="ying"), i_AbsorpInhalation2*(d_VC2*d_WorkHr*d_BreathWorker*EXP(-$T$50*LN(2)/d_DT50air2)+i_AppRateAS2*d_InhalTcManual*d_WorkHr*EXP(-$T$50*LN(2)/d_DT50soil2)),0)),0)/d_BwAdult</f>
        <v>0</v>
      </c>
      <c r="I48" s="583" cm="1">
        <f t="array" ref="I48">IFERROR(IF(w_task="contact with treated soil",conc_dust2*d_BreathWorker*d_WorkHr*i_AbsorpInhalation2*EXP(-$U$50*LN(2)/d_DT50soil2),IF(AND(LEFT(i_IndoorOutdoor,3)="Ind",RIGHT(i_AppMeth,4)="ying"), i_AbsorpInhalation2*(d_VC2*d_WorkHr*d_BreathWorker*EXP(-$U$50*LN(2)/d_DT50air2)+i_AppRateAS2*d_InhalTcManual*d_WorkHr*EXP(-$U$50*LN(2)/d_DT50soil2)),0)),0)/d_BwAdult</f>
        <v>0</v>
      </c>
      <c r="J48" s="581" cm="1">
        <f t="array" ref="J48">IFERROR(IF(w_task="contact with treated soil",conc_dust3*d_BreathWorker*d_WorkHr*i_AbsorpInhalation3*EXP(-$R$50*LN(2)/d_DT50soil3),IF(AND(LEFT(i_IndoorOutdoor,3)="Ind",RIGHT(i_AppMeth,4)="ying"), i_AbsorpInhalation3*(d_VC3*d_WorkHr*d_BreathWorker*EXP(-$R$50*LN(2)/d_DT50air3)+i_AppRateAS3*d_InhalTcManual*d_WorkHr*EXP(-$R$50*LN(2)/d_DT50soil3)),0)),0)/d_BwAdult</f>
        <v>0</v>
      </c>
      <c r="K48" s="582" cm="1">
        <f t="array" ref="K48">IFERROR(IF(w_task="contact with treated soil",conc_dust3*d_BreathWorker*d_WorkHr*i_AbsorpInhalation3*EXP(-$S$50*LN(2)/d_DT50soil3),IF(AND(LEFT(i_IndoorOutdoor,3)="Ind",RIGHT(i_AppMeth,4)="ying"), i_AbsorpInhalation3*(d_VC3*d_WorkHr*d_BreathWorker*EXP(-$S$50*LN(2)/d_DT50air3)+i_AppRateAS3*d_InhalTcManual*d_WorkHr*EXP(-$S$50*LN(2)/d_DT50soil3)),0)),0)/d_BwAdult</f>
        <v>0</v>
      </c>
      <c r="L48" s="582" cm="1">
        <f t="array" ref="L48">IFERROR(IF(w_task="contact with treated soil",conc_dust3*d_BreathWorker*d_WorkHr*i_AbsorpInhalation3*EXP(-$T$50*LN(2)/d_DT50soil3),IF(AND(LEFT(i_IndoorOutdoor,3)="Ind",RIGHT(i_AppMeth,4)="ying"), i_AbsorpInhalation3*(d_VC3*d_WorkHr*d_BreathWorker*EXP(-$T$50*LN(2)/d_DT50air3)+i_AppRateAS3*d_InhalTcManual*d_WorkHr*EXP(-$T$50*LN(2)/d_DT50soil3)),0)),0)/d_BwAdult</f>
        <v>0</v>
      </c>
      <c r="M48" s="583" cm="1">
        <f t="array" ref="M48">IFERROR(IF(w_task="contact with treated soil",conc_dust3*d_BreathWorker*d_WorkHr*i_AbsorpInhalation3*EXP(-$U$50*LN(2)/d_DT50soil3),IF(AND(LEFT(i_IndoorOutdoor,3)="Ind",RIGHT(i_AppMeth,4)="ying"), i_AbsorpInhalation3*(d_VC3*d_WorkHr*d_BreathWorker*EXP(-$U$50*LN(2)/d_DT50air3)+i_AppRateAS3*d_InhalTcManual*d_WorkHr*EXP(-$U$50*LN(2)/d_DT50soil3)),0)),0)/d_BwAdult</f>
        <v>0</v>
      </c>
      <c r="N48" s="581" cm="1">
        <f t="array" ref="N48">IFERROR(IF(w_task="contact with treated soil",conc_dust4*d_BreathWorker*d_WorkHr*i_AbsorpInhalation4*EXP(-$R$50*LN(2)/d_DT50soil4),IF(AND(LEFT(i_IndoorOutdoor,3)="Ind",RIGHT(i_AppMeth,4)="ying"), i_AbsorpInhalation4*(d_VC4*d_WorkHr*d_BreathWorker*EXP(-$R$50*LN(2)/d_DT50air4)+i_AppRateAS4*d_InhalTcManual*d_WorkHr*EXP(-$R$50*LN(2)/d_DT50soil4)),0)),0)/d_BwAdult</f>
        <v>0</v>
      </c>
      <c r="O48" s="582" cm="1">
        <f t="array" ref="O48">IFERROR(IF(w_task="contact with treated soil",conc_dust4*d_BreathWorker*d_WorkHr*i_AbsorpInhalation4*EXP(-$S$50*LN(2)/d_DT50soil4),IF(AND(LEFT(i_IndoorOutdoor,3)="Ind",RIGHT(i_AppMeth,4)="ying"), i_AbsorpInhalation4*(d_VC4*d_WorkHr*d_BreathWorker*EXP(-S$50*LN(2)/d_DT50air4)+i_AppRateAS4*d_InhalTcManual*d_WorkHr*EXP(-$S$50*LN(2)/d_DT50soil4)),0)),0)/d_BwAdult</f>
        <v>0</v>
      </c>
      <c r="P48" s="582" cm="1">
        <f t="array" ref="P48">IFERROR(IF(w_task="contact with treated soil",conc_dust4*d_BreathWorker*d_WorkHr*i_AbsorpInhalation4*EXP(-$T$50*LN(2)/d_DT50soil4),IF(AND(LEFT(i_IndoorOutdoor,3)="Ind",RIGHT(i_AppMeth,4)="ying"), i_AbsorpInhalation4*(d_VC4*d_WorkHr*d_BreathWorker*EXP(-$T$50*LN(2)/d_DT50air4)+i_AppRateAS4*d_InhalTcManual*d_WorkHr*EXP(-$T$50*LN(2)/d_DT50soil4)),0)),0)/d_BwAdult</f>
        <v>0</v>
      </c>
      <c r="Q48" s="583" cm="1">
        <f t="array" ref="Q48">IFERROR(IF(w_task="contact with treated soil",conc_dust4*d_BreathWorker*d_WorkHr*i_AbsorpInhalation4*EXP(-$U$50*LN(2)/d_DT50soil4),IF(AND(LEFT(i_IndoorOutdoor,3)="Ind",RIGHT(i_AppMeth,4)="ying"), i_AbsorpInhalation4*(d_VC4*d_WorkHr*d_BreathWorker*EXP(-$U$50*LN(2)/d_DT50air4)+i_AppRateAS4*d_InhalTcManual*d_WorkHr*EXP(-$U$50*LN(2)/d_DT50soil4)),0)),0)/d_BwAdult</f>
        <v>0</v>
      </c>
      <c r="R48" s="978"/>
      <c r="S48" s="979"/>
      <c r="T48" s="979"/>
      <c r="U48" s="980"/>
      <c r="V48" s="969"/>
    </row>
    <row r="49" spans="1:90" s="212" customFormat="1" ht="30" customHeight="1">
      <c r="A49" s="208" t="s">
        <v>558</v>
      </c>
      <c r="B49" s="375">
        <f>IFERROR((B47+B48)/i_AOEL1,0)</f>
        <v>0</v>
      </c>
      <c r="C49" s="378">
        <f>IFERROR((C47+C48)/i_AOEL1,0)</f>
        <v>0</v>
      </c>
      <c r="D49" s="378">
        <f>IFERROR((D47+D48)/i_AOEL1,0)</f>
        <v>0</v>
      </c>
      <c r="E49" s="376">
        <f>IFERROR((E47+E48)/i_AOEL1,0)</f>
        <v>0</v>
      </c>
      <c r="F49" s="375">
        <f>IFERROR((F47+F48)/i_AOEL2,0)</f>
        <v>0</v>
      </c>
      <c r="G49" s="378">
        <f>IFERROR((G47+G48)/i_AOEL2,0)</f>
        <v>0</v>
      </c>
      <c r="H49" s="378">
        <f>IFERROR((H47+H48)/i_AOEL2,0)</f>
        <v>0</v>
      </c>
      <c r="I49" s="376">
        <f>IFERROR((I47+I48)/i_AOEL2,0)</f>
        <v>0</v>
      </c>
      <c r="J49" s="375">
        <f>IFERROR((J47+J48)/i_AOEL3,0)</f>
        <v>0</v>
      </c>
      <c r="K49" s="378">
        <f>IFERROR((K47+K48)/i_AOEL3,0)</f>
        <v>0</v>
      </c>
      <c r="L49" s="378">
        <f>IFERROR((L47+L48)/i_AOEL3,0)</f>
        <v>0</v>
      </c>
      <c r="M49" s="376">
        <f>IFERROR((M47+M48)/i_AOEL3,0)</f>
        <v>0</v>
      </c>
      <c r="N49" s="375">
        <f>IFERROR((N47+N48)/i_AOEL4,0)</f>
        <v>0</v>
      </c>
      <c r="O49" s="378">
        <f>IFERROR((O47+O48)/i_AOEL4,0)</f>
        <v>0</v>
      </c>
      <c r="P49" s="378">
        <f>IFERROR((P47+P48)/i_AOEL4,0)</f>
        <v>0</v>
      </c>
      <c r="Q49" s="376">
        <f>IFERROR((Q47+Q48)/i_AOEL4,0)</f>
        <v>0</v>
      </c>
      <c r="R49" s="436">
        <f>B49+F49+J49+N49</f>
        <v>0</v>
      </c>
      <c r="S49" s="435">
        <f>C49+G49+K49+O49</f>
        <v>0</v>
      </c>
      <c r="T49" s="435">
        <f>D49+H49+L49+P49</f>
        <v>0</v>
      </c>
      <c r="U49" s="380">
        <f>E49+I49+M49+Q49</f>
        <v>0</v>
      </c>
      <c r="V49" s="969"/>
      <c r="W49"/>
      <c r="X49"/>
      <c r="Y49"/>
      <c r="Z49"/>
      <c r="AA49"/>
      <c r="AB49"/>
      <c r="AC49"/>
      <c r="AD49"/>
      <c r="AE49"/>
      <c r="AF49"/>
      <c r="AG49"/>
      <c r="AH49"/>
      <c r="AI49"/>
      <c r="AJ49"/>
      <c r="AK49"/>
      <c r="AL49"/>
      <c r="AM49"/>
      <c r="AN49"/>
      <c r="AO49"/>
      <c r="AP49"/>
      <c r="AQ49"/>
      <c r="AR49"/>
      <c r="AS49"/>
      <c r="AT49"/>
      <c r="AU49"/>
      <c r="AV49"/>
      <c r="AW49"/>
      <c r="AX49"/>
      <c r="AY49"/>
      <c r="AZ49"/>
      <c r="BA49"/>
      <c r="BB49"/>
      <c r="BC49"/>
      <c r="BD49"/>
      <c r="BE49"/>
      <c r="BF49"/>
      <c r="BG49"/>
      <c r="BH49"/>
      <c r="BI49"/>
      <c r="BJ49"/>
      <c r="BK49"/>
      <c r="BL49"/>
      <c r="BM49"/>
      <c r="BN49"/>
      <c r="BO49"/>
      <c r="BP49"/>
      <c r="BQ49"/>
      <c r="BR49"/>
      <c r="BS49"/>
      <c r="BT49"/>
      <c r="BU49"/>
      <c r="BV49"/>
      <c r="BW49"/>
      <c r="BX49"/>
      <c r="BY49"/>
      <c r="BZ49"/>
      <c r="CA49"/>
      <c r="CB49"/>
      <c r="CC49"/>
      <c r="CD49"/>
      <c r="CE49"/>
      <c r="CF49"/>
      <c r="CG49"/>
      <c r="CH49"/>
      <c r="CI49"/>
      <c r="CJ49"/>
      <c r="CK49"/>
      <c r="CL49"/>
    </row>
    <row r="50" spans="1:90" s="327" customFormat="1" ht="32.1" customHeight="1" thickBot="1">
      <c r="A50" s="457" t="s">
        <v>559</v>
      </c>
      <c r="B50" s="437">
        <v>0</v>
      </c>
      <c r="C50" s="438">
        <v>172</v>
      </c>
      <c r="D50" s="438">
        <v>0</v>
      </c>
      <c r="E50" s="439">
        <v>0</v>
      </c>
      <c r="F50" s="437">
        <v>0</v>
      </c>
      <c r="G50" s="438">
        <v>144</v>
      </c>
      <c r="H50" s="438">
        <v>0</v>
      </c>
      <c r="I50" s="439">
        <v>0</v>
      </c>
      <c r="J50" s="437">
        <v>0</v>
      </c>
      <c r="K50" s="438">
        <v>0</v>
      </c>
      <c r="L50" s="438">
        <v>0</v>
      </c>
      <c r="M50" s="439">
        <v>0</v>
      </c>
      <c r="N50" s="437">
        <v>0</v>
      </c>
      <c r="O50" s="438">
        <v>0</v>
      </c>
      <c r="P50" s="438">
        <v>0</v>
      </c>
      <c r="Q50" s="439">
        <v>0</v>
      </c>
      <c r="R50" s="437">
        <v>0</v>
      </c>
      <c r="S50" s="438">
        <v>190</v>
      </c>
      <c r="T50" s="438">
        <v>0</v>
      </c>
      <c r="U50" s="439">
        <v>0</v>
      </c>
      <c r="V50" s="970"/>
      <c r="W50"/>
      <c r="X50"/>
      <c r="Y50"/>
      <c r="Z50"/>
      <c r="AA50"/>
      <c r="AB50"/>
      <c r="AC50"/>
      <c r="AD50"/>
      <c r="AE50"/>
      <c r="AF50"/>
      <c r="AG50"/>
      <c r="AH50"/>
      <c r="AI50"/>
      <c r="AJ50"/>
      <c r="AK50"/>
      <c r="AL50"/>
      <c r="AM50"/>
      <c r="AN50"/>
      <c r="AO50"/>
      <c r="AP50"/>
      <c r="AQ50"/>
      <c r="AR50"/>
      <c r="AS50"/>
      <c r="AT50"/>
      <c r="AU50"/>
      <c r="AV50"/>
      <c r="AW50"/>
      <c r="AX50"/>
      <c r="AY50"/>
      <c r="AZ50"/>
      <c r="BA50"/>
      <c r="BB50"/>
      <c r="BC50"/>
      <c r="BD50"/>
      <c r="BE50"/>
      <c r="BF50"/>
      <c r="BG50"/>
      <c r="BH50"/>
      <c r="BI50"/>
      <c r="BJ50"/>
      <c r="BK50"/>
      <c r="BL50"/>
      <c r="BM50"/>
      <c r="BN50"/>
      <c r="BO50"/>
      <c r="BP50"/>
      <c r="BQ50"/>
      <c r="BR50"/>
      <c r="BS50"/>
      <c r="BT50"/>
      <c r="BU50"/>
      <c r="BV50"/>
      <c r="BW50"/>
      <c r="BX50"/>
      <c r="BY50"/>
      <c r="BZ50"/>
      <c r="CA50"/>
      <c r="CB50"/>
      <c r="CC50"/>
      <c r="CD50"/>
      <c r="CE50"/>
      <c r="CF50"/>
      <c r="CG50"/>
      <c r="CH50"/>
      <c r="CI50"/>
      <c r="CJ50"/>
      <c r="CK50"/>
      <c r="CL50"/>
    </row>
    <row r="59" spans="1:90" ht="27.75" customHeight="1"/>
    <row r="62" spans="1:90" hidden="1"/>
  </sheetData>
  <sheetProtection algorithmName="SHA-512" hashValue="sqRuk7j/bBg5j9iOnczkpQJc4L2OK2pblde7Op25Kpj167eaCcHoYHJwT8RX5BBt/JqbKudYOyEzzwHoFmWyAw==" saltValue="vX8+pRtV7vds7bqL8bW3ZQ==" spinCount="100000" sheet="1" formatCells="0" formatColumns="0" formatRows="0"/>
  <mergeCells count="101">
    <mergeCell ref="B29:E29"/>
    <mergeCell ref="B35:C35"/>
    <mergeCell ref="G45:G46"/>
    <mergeCell ref="H45:H46"/>
    <mergeCell ref="I45:I46"/>
    <mergeCell ref="F17:I17"/>
    <mergeCell ref="F18:I18"/>
    <mergeCell ref="J18:M18"/>
    <mergeCell ref="N18:Q18"/>
    <mergeCell ref="N21:Q21"/>
    <mergeCell ref="B27:C27"/>
    <mergeCell ref="B26:C26"/>
    <mergeCell ref="B24:C24"/>
    <mergeCell ref="F20:I20"/>
    <mergeCell ref="F21:I21"/>
    <mergeCell ref="J21:M21"/>
    <mergeCell ref="J19:M19"/>
    <mergeCell ref="F19:I19"/>
    <mergeCell ref="N19:Q19"/>
    <mergeCell ref="B18:E18"/>
    <mergeCell ref="B19:E19"/>
    <mergeCell ref="B20:E20"/>
    <mergeCell ref="B21:E21"/>
    <mergeCell ref="B22:C22"/>
    <mergeCell ref="A45:A46"/>
    <mergeCell ref="F35:G35"/>
    <mergeCell ref="A36:A37"/>
    <mergeCell ref="B36:C36"/>
    <mergeCell ref="F36:G36"/>
    <mergeCell ref="B44:E44"/>
    <mergeCell ref="F44:I44"/>
    <mergeCell ref="B45:B46"/>
    <mergeCell ref="C45:C46"/>
    <mergeCell ref="D45:D46"/>
    <mergeCell ref="E45:E46"/>
    <mergeCell ref="F45:F46"/>
    <mergeCell ref="N15:Q15"/>
    <mergeCell ref="N16:Q16"/>
    <mergeCell ref="N13:Q13"/>
    <mergeCell ref="N14:Q14"/>
    <mergeCell ref="V31:V33"/>
    <mergeCell ref="J35:K35"/>
    <mergeCell ref="N35:O35"/>
    <mergeCell ref="R31:U32"/>
    <mergeCell ref="J13:M13"/>
    <mergeCell ref="J14:M14"/>
    <mergeCell ref="R29:U29"/>
    <mergeCell ref="N29:Q29"/>
    <mergeCell ref="N17:Q17"/>
    <mergeCell ref="V29:V30"/>
    <mergeCell ref="J17:M17"/>
    <mergeCell ref="N20:Q20"/>
    <mergeCell ref="J20:M20"/>
    <mergeCell ref="B13:E13"/>
    <mergeCell ref="B11:E11"/>
    <mergeCell ref="B12:E12"/>
    <mergeCell ref="B10:E10"/>
    <mergeCell ref="B15:E15"/>
    <mergeCell ref="B17:E17"/>
    <mergeCell ref="B14:E14"/>
    <mergeCell ref="B16:E16"/>
    <mergeCell ref="V45:V46"/>
    <mergeCell ref="F10:I10"/>
    <mergeCell ref="F11:I11"/>
    <mergeCell ref="F12:I12"/>
    <mergeCell ref="F15:I15"/>
    <mergeCell ref="F16:I16"/>
    <mergeCell ref="J10:M10"/>
    <mergeCell ref="J11:M11"/>
    <mergeCell ref="J12:M12"/>
    <mergeCell ref="J15:M15"/>
    <mergeCell ref="J16:M16"/>
    <mergeCell ref="F13:I13"/>
    <mergeCell ref="F14:I14"/>
    <mergeCell ref="N10:Q10"/>
    <mergeCell ref="N11:Q11"/>
    <mergeCell ref="N12:Q12"/>
    <mergeCell ref="V47:V50"/>
    <mergeCell ref="B23:C23"/>
    <mergeCell ref="U45:U46"/>
    <mergeCell ref="R44:U44"/>
    <mergeCell ref="R47:U48"/>
    <mergeCell ref="J44:M44"/>
    <mergeCell ref="J45:J46"/>
    <mergeCell ref="K45:K46"/>
    <mergeCell ref="L45:L46"/>
    <mergeCell ref="M45:M46"/>
    <mergeCell ref="N44:Q44"/>
    <mergeCell ref="N45:N46"/>
    <mergeCell ref="O45:O46"/>
    <mergeCell ref="P45:P46"/>
    <mergeCell ref="Q45:Q46"/>
    <mergeCell ref="S45:S46"/>
    <mergeCell ref="R45:R46"/>
    <mergeCell ref="J29:M29"/>
    <mergeCell ref="F29:I29"/>
    <mergeCell ref="B25:C25"/>
    <mergeCell ref="T45:T46"/>
    <mergeCell ref="R36:R37"/>
    <mergeCell ref="J36:K36"/>
    <mergeCell ref="N36:O36"/>
  </mergeCells>
  <conditionalFormatting sqref="F39:G41 B41:C41 J39:K41 N39:O41 C39:C40 E47 I47 M47 Q47 B19 R49:U49 J31:Q32">
    <cfRule type="cellIs" dxfId="4570" priority="1821" operator="greaterThanOrEqual">
      <formula>10</formula>
    </cfRule>
    <cfRule type="cellIs" dxfId="4569" priority="1822" operator="between">
      <formula>1</formula>
      <formula>10</formula>
    </cfRule>
    <cfRule type="cellIs" dxfId="4568" priority="1823" operator="between">
      <formula>0.1</formula>
      <formula>1</formula>
    </cfRule>
    <cfRule type="cellIs" dxfId="4567" priority="1824" operator="between">
      <formula>0.001</formula>
      <formula>0.01</formula>
    </cfRule>
    <cfRule type="cellIs" dxfId="4566" priority="1825" operator="between">
      <formula>0</formula>
      <formula>0.001</formula>
    </cfRule>
    <cfRule type="cellIs" dxfId="4565" priority="1826" operator="between">
      <formula>0.01</formula>
      <formula>0.1</formula>
    </cfRule>
  </conditionalFormatting>
  <conditionalFormatting sqref="B47:R47 B49:U50 B31:U43">
    <cfRule type="cellIs" dxfId="4564" priority="1802" operator="equal">
      <formula>0</formula>
    </cfRule>
  </conditionalFormatting>
  <conditionalFormatting sqref="B49:Q49 B33:F33">
    <cfRule type="expression" dxfId="4563" priority="1741">
      <formula>B33&gt;1</formula>
    </cfRule>
    <cfRule type="expression" dxfId="4562" priority="1743">
      <formula>B33&lt;=1</formula>
    </cfRule>
  </conditionalFormatting>
  <conditionalFormatting sqref="D33:E33">
    <cfRule type="expression" dxfId="4561" priority="1740">
      <formula>D33&lt;=1</formula>
    </cfRule>
    <cfRule type="expression" dxfId="4560" priority="1742">
      <formula>D33&gt;1</formula>
    </cfRule>
  </conditionalFormatting>
  <conditionalFormatting sqref="C33:E33">
    <cfRule type="expression" dxfId="4559" priority="1738">
      <formula>C33&lt;=1</formula>
    </cfRule>
    <cfRule type="expression" dxfId="4558" priority="1739">
      <formula>C33&gt;1</formula>
    </cfRule>
  </conditionalFormatting>
  <conditionalFormatting sqref="H33:I33">
    <cfRule type="expression" dxfId="4557" priority="1734">
      <formula>H33&lt;=1</formula>
    </cfRule>
    <cfRule type="expression" dxfId="4556" priority="1736">
      <formula>H33&gt;1</formula>
    </cfRule>
  </conditionalFormatting>
  <conditionalFormatting sqref="G33:I33">
    <cfRule type="expression" dxfId="4555" priority="1732">
      <formula>G33&lt;=1</formula>
    </cfRule>
    <cfRule type="expression" dxfId="4554" priority="1733">
      <formula>G33&gt;1</formula>
    </cfRule>
  </conditionalFormatting>
  <conditionalFormatting sqref="J33">
    <cfRule type="expression" dxfId="4553" priority="1729">
      <formula>J33&gt;1</formula>
    </cfRule>
    <cfRule type="expression" dxfId="4552" priority="1731">
      <formula>J33&lt;=1</formula>
    </cfRule>
  </conditionalFormatting>
  <conditionalFormatting sqref="L33:M33">
    <cfRule type="expression" dxfId="4551" priority="1728">
      <formula>L33&lt;=1</formula>
    </cfRule>
    <cfRule type="expression" dxfId="4550" priority="1730">
      <formula>L33&gt;1</formula>
    </cfRule>
  </conditionalFormatting>
  <conditionalFormatting sqref="K33:M33">
    <cfRule type="expression" dxfId="4549" priority="1726">
      <formula>K33&lt;=1</formula>
    </cfRule>
    <cfRule type="expression" dxfId="4548" priority="1727">
      <formula>K33&gt;1</formula>
    </cfRule>
  </conditionalFormatting>
  <conditionalFormatting sqref="N33">
    <cfRule type="expression" dxfId="4547" priority="1723">
      <formula>N33&gt;1</formula>
    </cfRule>
    <cfRule type="expression" dxfId="4546" priority="1725">
      <formula>N33&lt;=1</formula>
    </cfRule>
  </conditionalFormatting>
  <conditionalFormatting sqref="P33:Q33">
    <cfRule type="expression" dxfId="4545" priority="1722">
      <formula>P33&lt;=1</formula>
    </cfRule>
    <cfRule type="expression" dxfId="4544" priority="1724">
      <formula>P33&gt;1</formula>
    </cfRule>
  </conditionalFormatting>
  <conditionalFormatting sqref="O33:Q33">
    <cfRule type="expression" dxfId="4543" priority="1720">
      <formula>O33&lt;=1</formula>
    </cfRule>
    <cfRule type="expression" dxfId="4542" priority="1721">
      <formula>O33&gt;1</formula>
    </cfRule>
  </conditionalFormatting>
  <conditionalFormatting sqref="S33:U33">
    <cfRule type="expression" dxfId="4541" priority="1716">
      <formula>C33+G33+K33+O33&lt;=1</formula>
    </cfRule>
    <cfRule type="expression" dxfId="4540" priority="1718">
      <formula>C33+G33+K33+O33&gt;1</formula>
    </cfRule>
  </conditionalFormatting>
  <conditionalFormatting sqref="R33">
    <cfRule type="expression" dxfId="4539" priority="1717">
      <formula>B33+F33+J33+N33&gt;1</formula>
    </cfRule>
    <cfRule type="expression" dxfId="4538" priority="1719">
      <formula>B33+F33+J33+N33&lt;=1</formula>
    </cfRule>
  </conditionalFormatting>
  <conditionalFormatting sqref="R49:U49">
    <cfRule type="expression" dxfId="4537" priority="1679">
      <formula>R49&gt;1</formula>
    </cfRule>
    <cfRule type="expression" dxfId="4536" priority="1680">
      <formula>R49&lt;=1</formula>
    </cfRule>
  </conditionalFormatting>
  <conditionalFormatting sqref="S49:T49">
    <cfRule type="expression" dxfId="4535" priority="1677">
      <formula>S49&gt;1</formula>
    </cfRule>
    <cfRule type="expression" dxfId="4534" priority="1678">
      <formula>S49&lt;=1</formula>
    </cfRule>
  </conditionalFormatting>
  <conditionalFormatting sqref="U49">
    <cfRule type="expression" dxfId="4533" priority="1675">
      <formula>U49&gt;1</formula>
    </cfRule>
    <cfRule type="expression" dxfId="4532" priority="1676">
      <formula>U49&lt;=1</formula>
    </cfRule>
  </conditionalFormatting>
  <conditionalFormatting sqref="J39:J41">
    <cfRule type="cellIs" dxfId="4531" priority="1673" operator="equal">
      <formula>0</formula>
    </cfRule>
  </conditionalFormatting>
  <conditionalFormatting sqref="J39:J41">
    <cfRule type="cellIs" dxfId="4530" priority="1672" operator="equal">
      <formula>0</formula>
    </cfRule>
  </conditionalFormatting>
  <conditionalFormatting sqref="J39:J41">
    <cfRule type="cellIs" dxfId="4529" priority="1667" operator="equal">
      <formula>0</formula>
    </cfRule>
  </conditionalFormatting>
  <conditionalFormatting sqref="J39:J41">
    <cfRule type="cellIs" dxfId="4528" priority="1666" operator="equal">
      <formula>0</formula>
    </cfRule>
  </conditionalFormatting>
  <conditionalFormatting sqref="J39:J41">
    <cfRule type="cellIs" dxfId="4527" priority="1665" operator="equal">
      <formula>0</formula>
    </cfRule>
  </conditionalFormatting>
  <conditionalFormatting sqref="J39:K41">
    <cfRule type="cellIs" dxfId="4526" priority="1658" operator="equal">
      <formula>0</formula>
    </cfRule>
  </conditionalFormatting>
  <conditionalFormatting sqref="F39:F41">
    <cfRule type="cellIs" dxfId="4525" priority="1656" operator="equal">
      <formula>0</formula>
    </cfRule>
  </conditionalFormatting>
  <conditionalFormatting sqref="F39:F41">
    <cfRule type="cellIs" dxfId="4524" priority="1655" operator="equal">
      <formula>0</formula>
    </cfRule>
  </conditionalFormatting>
  <conditionalFormatting sqref="F39:F41">
    <cfRule type="cellIs" dxfId="4523" priority="1654" operator="equal">
      <formula>0</formula>
    </cfRule>
  </conditionalFormatting>
  <conditionalFormatting sqref="F39:F41">
    <cfRule type="cellIs" dxfId="4522" priority="1653" operator="equal">
      <formula>0</formula>
    </cfRule>
  </conditionalFormatting>
  <conditionalFormatting sqref="F39:F41">
    <cfRule type="cellIs" dxfId="4521" priority="1652" operator="equal">
      <formula>0</formula>
    </cfRule>
  </conditionalFormatting>
  <conditionalFormatting sqref="F39:G41">
    <cfRule type="cellIs" dxfId="4520" priority="1651" operator="equal">
      <formula>0</formula>
    </cfRule>
  </conditionalFormatting>
  <conditionalFormatting sqref="B41">
    <cfRule type="cellIs" dxfId="4519" priority="1646" operator="equal">
      <formula>0</formula>
    </cfRule>
  </conditionalFormatting>
  <conditionalFormatting sqref="B41">
    <cfRule type="cellIs" dxfId="4518" priority="1645" operator="equal">
      <formula>0</formula>
    </cfRule>
  </conditionalFormatting>
  <conditionalFormatting sqref="B41">
    <cfRule type="cellIs" dxfId="4517" priority="1644" operator="equal">
      <formula>0</formula>
    </cfRule>
  </conditionalFormatting>
  <conditionalFormatting sqref="B41">
    <cfRule type="cellIs" dxfId="4516" priority="1643" operator="equal">
      <formula>0</formula>
    </cfRule>
  </conditionalFormatting>
  <conditionalFormatting sqref="B41">
    <cfRule type="cellIs" dxfId="4515" priority="1642" operator="equal">
      <formula>0</formula>
    </cfRule>
  </conditionalFormatting>
  <conditionalFormatting sqref="B41:C41 C39:C40">
    <cfRule type="cellIs" dxfId="4514" priority="1641" operator="equal">
      <formula>0</formula>
    </cfRule>
  </conditionalFormatting>
  <conditionalFormatting sqref="N39:N41">
    <cfRule type="cellIs" dxfId="4513" priority="1635" operator="equal">
      <formula>0</formula>
    </cfRule>
  </conditionalFormatting>
  <conditionalFormatting sqref="N39:N41">
    <cfRule type="cellIs" dxfId="4512" priority="1634" operator="equal">
      <formula>0</formula>
    </cfRule>
  </conditionalFormatting>
  <conditionalFormatting sqref="N39:N41">
    <cfRule type="cellIs" dxfId="4511" priority="1633" operator="equal">
      <formula>0</formula>
    </cfRule>
  </conditionalFormatting>
  <conditionalFormatting sqref="N39:N41">
    <cfRule type="cellIs" dxfId="4510" priority="1632" operator="equal">
      <formula>0</formula>
    </cfRule>
  </conditionalFormatting>
  <conditionalFormatting sqref="N39:N41">
    <cfRule type="cellIs" dxfId="4509" priority="1631" operator="equal">
      <formula>0</formula>
    </cfRule>
  </conditionalFormatting>
  <conditionalFormatting sqref="N39:O41">
    <cfRule type="cellIs" dxfId="4508" priority="1630" operator="equal">
      <formula>0</formula>
    </cfRule>
  </conditionalFormatting>
  <conditionalFormatting sqref="J31:J32 L31:M32">
    <cfRule type="cellIs" dxfId="4507" priority="1605" operator="equal">
      <formula>0</formula>
    </cfRule>
  </conditionalFormatting>
  <conditionalFormatting sqref="J31:J32 L31:M32">
    <cfRule type="cellIs" dxfId="4506" priority="1604" operator="equal">
      <formula>0</formula>
    </cfRule>
  </conditionalFormatting>
  <conditionalFormatting sqref="J31:J32 L31:M32">
    <cfRule type="cellIs" dxfId="4505" priority="1603" operator="equal">
      <formula>0</formula>
    </cfRule>
  </conditionalFormatting>
  <conditionalFormatting sqref="J31:J32 L31:M32">
    <cfRule type="cellIs" dxfId="4504" priority="1602" operator="equal">
      <formula>0</formula>
    </cfRule>
  </conditionalFormatting>
  <conditionalFormatting sqref="J31:J32 L31:M32">
    <cfRule type="cellIs" dxfId="4503" priority="1601" operator="equal">
      <formula>0</formula>
    </cfRule>
  </conditionalFormatting>
  <conditionalFormatting sqref="N31:N32 P31:Q32">
    <cfRule type="cellIs" dxfId="4502" priority="1599" operator="equal">
      <formula>0</formula>
    </cfRule>
  </conditionalFormatting>
  <conditionalFormatting sqref="N31:N32 P31:Q32">
    <cfRule type="cellIs" dxfId="4501" priority="1598" operator="equal">
      <formula>0</formula>
    </cfRule>
  </conditionalFormatting>
  <conditionalFormatting sqref="N31:N32 P31:Q32">
    <cfRule type="cellIs" dxfId="4500" priority="1597" operator="equal">
      <formula>0</formula>
    </cfRule>
  </conditionalFormatting>
  <conditionalFormatting sqref="N31:N32 P31:Q32">
    <cfRule type="cellIs" dxfId="4499" priority="1596" operator="equal">
      <formula>0</formula>
    </cfRule>
  </conditionalFormatting>
  <conditionalFormatting sqref="N31:N32 P31:Q32">
    <cfRule type="cellIs" dxfId="4498" priority="1595" operator="equal">
      <formula>0</formula>
    </cfRule>
  </conditionalFormatting>
  <conditionalFormatting sqref="T33:U33">
    <cfRule type="expression" dxfId="4497" priority="2999">
      <formula>D33+H33+L33+P33&lt;=1</formula>
    </cfRule>
    <cfRule type="expression" dxfId="4496" priority="3000">
      <formula>D33+H33+L33+P33&gt;1</formula>
    </cfRule>
  </conditionalFormatting>
  <conditionalFormatting sqref="T49">
    <cfRule type="expression" dxfId="4495" priority="1414">
      <formula>T49&gt;1</formula>
    </cfRule>
    <cfRule type="expression" dxfId="4494" priority="1415">
      <formula>T49&lt;=1</formula>
    </cfRule>
  </conditionalFormatting>
  <conditionalFormatting sqref="B31:D32">
    <cfRule type="cellIs" dxfId="4493" priority="1407" operator="between">
      <formula>0</formula>
      <formula>0.0001</formula>
    </cfRule>
    <cfRule type="cellIs" dxfId="4492" priority="1408" operator="greaterThanOrEqual">
      <formula>10</formula>
    </cfRule>
    <cfRule type="cellIs" dxfId="4491" priority="1409" operator="between">
      <formula>1</formula>
      <formula>10</formula>
    </cfRule>
    <cfRule type="cellIs" dxfId="4490" priority="1410" operator="between">
      <formula>0.1</formula>
      <formula>1</formula>
    </cfRule>
    <cfRule type="cellIs" dxfId="4489" priority="1411" operator="between">
      <formula>0.001</formula>
      <formula>0.01</formula>
    </cfRule>
    <cfRule type="cellIs" dxfId="4488" priority="1412" operator="between">
      <formula>0.0001</formula>
      <formula>0.001</formula>
    </cfRule>
    <cfRule type="cellIs" dxfId="4487" priority="1413" operator="between">
      <formula>0.01</formula>
      <formula>0.1</formula>
    </cfRule>
  </conditionalFormatting>
  <conditionalFormatting sqref="B31:D32">
    <cfRule type="cellIs" dxfId="4486" priority="1406" operator="equal">
      <formula>0</formula>
    </cfRule>
  </conditionalFormatting>
  <conditionalFormatting sqref="E31:E32">
    <cfRule type="cellIs" dxfId="4485" priority="1399" operator="between">
      <formula>0</formula>
      <formula>0.0001</formula>
    </cfRule>
    <cfRule type="cellIs" dxfId="4484" priority="1400" operator="greaterThanOrEqual">
      <formula>10</formula>
    </cfRule>
    <cfRule type="cellIs" dxfId="4483" priority="1401" operator="between">
      <formula>1</formula>
      <formula>10</formula>
    </cfRule>
    <cfRule type="cellIs" dxfId="4482" priority="1402" operator="between">
      <formula>0.1</formula>
      <formula>1</formula>
    </cfRule>
    <cfRule type="cellIs" dxfId="4481" priority="1403" operator="between">
      <formula>0.001</formula>
      <formula>0.01</formula>
    </cfRule>
    <cfRule type="cellIs" dxfId="4480" priority="1404" operator="between">
      <formula>0.0001</formula>
      <formula>0.001</formula>
    </cfRule>
    <cfRule type="cellIs" dxfId="4479" priority="1405" operator="between">
      <formula>0.01</formula>
      <formula>0.1</formula>
    </cfRule>
  </conditionalFormatting>
  <conditionalFormatting sqref="E31:E32">
    <cfRule type="cellIs" dxfId="4478" priority="1398" operator="equal">
      <formula>0</formula>
    </cfRule>
  </conditionalFormatting>
  <conditionalFormatting sqref="F31:H32">
    <cfRule type="cellIs" dxfId="4477" priority="1391" operator="between">
      <formula>0</formula>
      <formula>0.0001</formula>
    </cfRule>
    <cfRule type="cellIs" dxfId="4476" priority="1392" operator="greaterThanOrEqual">
      <formula>10</formula>
    </cfRule>
    <cfRule type="cellIs" dxfId="4475" priority="1393" operator="between">
      <formula>1</formula>
      <formula>10</formula>
    </cfRule>
    <cfRule type="cellIs" dxfId="4474" priority="1394" operator="between">
      <formula>0.1</formula>
      <formula>1</formula>
    </cfRule>
    <cfRule type="cellIs" dxfId="4473" priority="1395" operator="between">
      <formula>0.001</formula>
      <formula>0.01</formula>
    </cfRule>
    <cfRule type="cellIs" dxfId="4472" priority="1396" operator="between">
      <formula>0.0001</formula>
      <formula>0.001</formula>
    </cfRule>
    <cfRule type="cellIs" dxfId="4471" priority="1397" operator="between">
      <formula>0.01</formula>
      <formula>0.1</formula>
    </cfRule>
  </conditionalFormatting>
  <conditionalFormatting sqref="F31:H32">
    <cfRule type="cellIs" dxfId="4470" priority="1390" operator="equal">
      <formula>0</formula>
    </cfRule>
  </conditionalFormatting>
  <conditionalFormatting sqref="I31:I32">
    <cfRule type="cellIs" dxfId="4469" priority="1383" operator="between">
      <formula>0</formula>
      <formula>0.0001</formula>
    </cfRule>
    <cfRule type="cellIs" dxfId="4468" priority="1384" operator="greaterThanOrEqual">
      <formula>10</formula>
    </cfRule>
    <cfRule type="cellIs" dxfId="4467" priority="1385" operator="between">
      <formula>1</formula>
      <formula>10</formula>
    </cfRule>
    <cfRule type="cellIs" dxfId="4466" priority="1386" operator="between">
      <formula>0.1</formula>
      <formula>1</formula>
    </cfRule>
    <cfRule type="cellIs" dxfId="4465" priority="1387" operator="between">
      <formula>0.001</formula>
      <formula>0.01</formula>
    </cfRule>
    <cfRule type="cellIs" dxfId="4464" priority="1388" operator="between">
      <formula>0.0001</formula>
      <formula>0.001</formula>
    </cfRule>
    <cfRule type="cellIs" dxfId="4463" priority="1389" operator="between">
      <formula>0.01</formula>
      <formula>0.1</formula>
    </cfRule>
  </conditionalFormatting>
  <conditionalFormatting sqref="I31:I32">
    <cfRule type="cellIs" dxfId="4462" priority="1382" operator="equal">
      <formula>0</formula>
    </cfRule>
  </conditionalFormatting>
  <conditionalFormatting sqref="B38:B40">
    <cfRule type="cellIs" dxfId="4461" priority="1375" operator="between">
      <formula>0</formula>
      <formula>0.0001</formula>
    </cfRule>
    <cfRule type="cellIs" dxfId="4460" priority="1376" operator="greaterThanOrEqual">
      <formula>10</formula>
    </cfRule>
    <cfRule type="cellIs" dxfId="4459" priority="1377" operator="between">
      <formula>1</formula>
      <formula>10</formula>
    </cfRule>
    <cfRule type="cellIs" dxfId="4458" priority="1378" operator="between">
      <formula>0.1</formula>
      <formula>1</formula>
    </cfRule>
    <cfRule type="cellIs" dxfId="4457" priority="1379" operator="between">
      <formula>0.001</formula>
      <formula>0.01</formula>
    </cfRule>
    <cfRule type="cellIs" dxfId="4456" priority="1380" operator="between">
      <formula>0.0001</formula>
      <formula>0.001</formula>
    </cfRule>
    <cfRule type="cellIs" dxfId="4455" priority="1381" operator="between">
      <formula>0.01</formula>
      <formula>0.1</formula>
    </cfRule>
  </conditionalFormatting>
  <conditionalFormatting sqref="B38:B40">
    <cfRule type="cellIs" dxfId="4454" priority="1374" operator="equal">
      <formula>0</formula>
    </cfRule>
  </conditionalFormatting>
  <conditionalFormatting sqref="C38">
    <cfRule type="cellIs" dxfId="4453" priority="1367" operator="between">
      <formula>0</formula>
      <formula>0.0001</formula>
    </cfRule>
    <cfRule type="cellIs" dxfId="4452" priority="1368" operator="greaterThanOrEqual">
      <formula>10</formula>
    </cfRule>
    <cfRule type="cellIs" dxfId="4451" priority="1369" operator="between">
      <formula>1</formula>
      <formula>10</formula>
    </cfRule>
    <cfRule type="cellIs" dxfId="4450" priority="1370" operator="between">
      <formula>0.1</formula>
      <formula>1</formula>
    </cfRule>
    <cfRule type="cellIs" dxfId="4449" priority="1371" operator="between">
      <formula>0.001</formula>
      <formula>0.01</formula>
    </cfRule>
    <cfRule type="cellIs" dxfId="4448" priority="1372" operator="between">
      <formula>0.0001</formula>
      <formula>0.001</formula>
    </cfRule>
    <cfRule type="cellIs" dxfId="4447" priority="1373" operator="between">
      <formula>0.01</formula>
      <formula>0.1</formula>
    </cfRule>
  </conditionalFormatting>
  <conditionalFormatting sqref="C38">
    <cfRule type="cellIs" dxfId="4446" priority="1366" operator="equal">
      <formula>0</formula>
    </cfRule>
  </conditionalFormatting>
  <conditionalFormatting sqref="F38">
    <cfRule type="cellIs" dxfId="4445" priority="1359" operator="between">
      <formula>0</formula>
      <formula>0.0001</formula>
    </cfRule>
    <cfRule type="cellIs" dxfId="4444" priority="1360" operator="greaterThanOrEqual">
      <formula>10</formula>
    </cfRule>
    <cfRule type="cellIs" dxfId="4443" priority="1361" operator="between">
      <formula>1</formula>
      <formula>10</formula>
    </cfRule>
    <cfRule type="cellIs" dxfId="4442" priority="1362" operator="between">
      <formula>0.1</formula>
      <formula>1</formula>
    </cfRule>
    <cfRule type="cellIs" dxfId="4441" priority="1363" operator="between">
      <formula>0.001</formula>
      <formula>0.01</formula>
    </cfRule>
    <cfRule type="cellIs" dxfId="4440" priority="1364" operator="between">
      <formula>0.0001</formula>
      <formula>0.001</formula>
    </cfRule>
    <cfRule type="cellIs" dxfId="4439" priority="1365" operator="between">
      <formula>0.01</formula>
      <formula>0.1</formula>
    </cfRule>
  </conditionalFormatting>
  <conditionalFormatting sqref="F38">
    <cfRule type="cellIs" dxfId="4438" priority="1358" operator="equal">
      <formula>0</formula>
    </cfRule>
  </conditionalFormatting>
  <conditionalFormatting sqref="G38">
    <cfRule type="cellIs" dxfId="4437" priority="1351" operator="between">
      <formula>0</formula>
      <formula>0.0001</formula>
    </cfRule>
    <cfRule type="cellIs" dxfId="4436" priority="1352" operator="greaterThanOrEqual">
      <formula>10</formula>
    </cfRule>
    <cfRule type="cellIs" dxfId="4435" priority="1353" operator="between">
      <formula>1</formula>
      <formula>10</formula>
    </cfRule>
    <cfRule type="cellIs" dxfId="4434" priority="1354" operator="between">
      <formula>0.1</formula>
      <formula>1</formula>
    </cfRule>
    <cfRule type="cellIs" dxfId="4433" priority="1355" operator="between">
      <formula>0.001</formula>
      <formula>0.01</formula>
    </cfRule>
    <cfRule type="cellIs" dxfId="4432" priority="1356" operator="between">
      <formula>0.0001</formula>
      <formula>0.001</formula>
    </cfRule>
    <cfRule type="cellIs" dxfId="4431" priority="1357" operator="between">
      <formula>0.01</formula>
      <formula>0.1</formula>
    </cfRule>
  </conditionalFormatting>
  <conditionalFormatting sqref="G38">
    <cfRule type="cellIs" dxfId="4430" priority="1350" operator="equal">
      <formula>0</formula>
    </cfRule>
  </conditionalFormatting>
  <conditionalFormatting sqref="J38">
    <cfRule type="cellIs" dxfId="4429" priority="1343" operator="between">
      <formula>0</formula>
      <formula>0.0001</formula>
    </cfRule>
    <cfRule type="cellIs" dxfId="4428" priority="1344" operator="greaterThanOrEqual">
      <formula>10</formula>
    </cfRule>
    <cfRule type="cellIs" dxfId="4427" priority="1345" operator="between">
      <formula>1</formula>
      <formula>10</formula>
    </cfRule>
    <cfRule type="cellIs" dxfId="4426" priority="1346" operator="between">
      <formula>0.1</formula>
      <formula>1</formula>
    </cfRule>
    <cfRule type="cellIs" dxfId="4425" priority="1347" operator="between">
      <formula>0.001</formula>
      <formula>0.01</formula>
    </cfRule>
    <cfRule type="cellIs" dxfId="4424" priority="1348" operator="between">
      <formula>0.0001</formula>
      <formula>0.001</formula>
    </cfRule>
    <cfRule type="cellIs" dxfId="4423" priority="1349" operator="between">
      <formula>0.01</formula>
      <formula>0.1</formula>
    </cfRule>
  </conditionalFormatting>
  <conditionalFormatting sqref="J38">
    <cfRule type="cellIs" dxfId="4422" priority="1342" operator="equal">
      <formula>0</formula>
    </cfRule>
  </conditionalFormatting>
  <conditionalFormatting sqref="K38">
    <cfRule type="cellIs" dxfId="4421" priority="1335" operator="between">
      <formula>0</formula>
      <formula>0.0001</formula>
    </cfRule>
    <cfRule type="cellIs" dxfId="4420" priority="1336" operator="greaterThanOrEqual">
      <formula>10</formula>
    </cfRule>
    <cfRule type="cellIs" dxfId="4419" priority="1337" operator="between">
      <formula>1</formula>
      <formula>10</formula>
    </cfRule>
    <cfRule type="cellIs" dxfId="4418" priority="1338" operator="between">
      <formula>0.1</formula>
      <formula>1</formula>
    </cfRule>
    <cfRule type="cellIs" dxfId="4417" priority="1339" operator="between">
      <formula>0.001</formula>
      <formula>0.01</formula>
    </cfRule>
    <cfRule type="cellIs" dxfId="4416" priority="1340" operator="between">
      <formula>0.0001</formula>
      <formula>0.001</formula>
    </cfRule>
    <cfRule type="cellIs" dxfId="4415" priority="1341" operator="between">
      <formula>0.01</formula>
      <formula>0.1</formula>
    </cfRule>
  </conditionalFormatting>
  <conditionalFormatting sqref="K38">
    <cfRule type="cellIs" dxfId="4414" priority="1334" operator="equal">
      <formula>0</formula>
    </cfRule>
  </conditionalFormatting>
  <conditionalFormatting sqref="N38">
    <cfRule type="cellIs" dxfId="4413" priority="1327" operator="between">
      <formula>0</formula>
      <formula>0.0001</formula>
    </cfRule>
    <cfRule type="cellIs" dxfId="4412" priority="1328" operator="greaterThanOrEqual">
      <formula>10</formula>
    </cfRule>
    <cfRule type="cellIs" dxfId="4411" priority="1329" operator="between">
      <formula>1</formula>
      <formula>10</formula>
    </cfRule>
    <cfRule type="cellIs" dxfId="4410" priority="1330" operator="between">
      <formula>0.1</formula>
      <formula>1</formula>
    </cfRule>
    <cfRule type="cellIs" dxfId="4409" priority="1331" operator="between">
      <formula>0.001</formula>
      <formula>0.01</formula>
    </cfRule>
    <cfRule type="cellIs" dxfId="4408" priority="1332" operator="between">
      <formula>0.0001</formula>
      <formula>0.001</formula>
    </cfRule>
    <cfRule type="cellIs" dxfId="4407" priority="1333" operator="between">
      <formula>0.01</formula>
      <formula>0.1</formula>
    </cfRule>
  </conditionalFormatting>
  <conditionalFormatting sqref="N38">
    <cfRule type="cellIs" dxfId="4406" priority="1326" operator="equal">
      <formula>0</formula>
    </cfRule>
  </conditionalFormatting>
  <conditionalFormatting sqref="O38">
    <cfRule type="cellIs" dxfId="4405" priority="1319" operator="between">
      <formula>0</formula>
      <formula>0.0001</formula>
    </cfRule>
    <cfRule type="cellIs" dxfId="4404" priority="1320" operator="greaterThanOrEqual">
      <formula>10</formula>
    </cfRule>
    <cfRule type="cellIs" dxfId="4403" priority="1321" operator="between">
      <formula>1</formula>
      <formula>10</formula>
    </cfRule>
    <cfRule type="cellIs" dxfId="4402" priority="1322" operator="between">
      <formula>0.1</formula>
      <formula>1</formula>
    </cfRule>
    <cfRule type="cellIs" dxfId="4401" priority="1323" operator="between">
      <formula>0.001</formula>
      <formula>0.01</formula>
    </cfRule>
    <cfRule type="cellIs" dxfId="4400" priority="1324" operator="between">
      <formula>0.0001</formula>
      <formula>0.001</formula>
    </cfRule>
    <cfRule type="cellIs" dxfId="4399" priority="1325" operator="between">
      <formula>0.01</formula>
      <formula>0.1</formula>
    </cfRule>
  </conditionalFormatting>
  <conditionalFormatting sqref="O38">
    <cfRule type="cellIs" dxfId="4398" priority="1318" operator="equal">
      <formula>0</formula>
    </cfRule>
  </conditionalFormatting>
  <conditionalFormatting sqref="B47">
    <cfRule type="cellIs" dxfId="4397" priority="1311" operator="between">
      <formula>0</formula>
      <formula>0.0001</formula>
    </cfRule>
    <cfRule type="cellIs" dxfId="4396" priority="1312" operator="greaterThanOrEqual">
      <formula>10</formula>
    </cfRule>
    <cfRule type="cellIs" dxfId="4395" priority="1313" operator="between">
      <formula>1</formula>
      <formula>10</formula>
    </cfRule>
    <cfRule type="cellIs" dxfId="4394" priority="1314" operator="between">
      <formula>0.1</formula>
      <formula>1</formula>
    </cfRule>
    <cfRule type="cellIs" dxfId="4393" priority="1315" operator="between">
      <formula>0.001</formula>
      <formula>0.01</formula>
    </cfRule>
    <cfRule type="cellIs" dxfId="4392" priority="1316" operator="between">
      <formula>0.0001</formula>
      <formula>0.001</formula>
    </cfRule>
    <cfRule type="cellIs" dxfId="4391" priority="1317" operator="between">
      <formula>0.01</formula>
      <formula>0.1</formula>
    </cfRule>
  </conditionalFormatting>
  <conditionalFormatting sqref="B47">
    <cfRule type="cellIs" dxfId="4390" priority="1310" operator="equal">
      <formula>0</formula>
    </cfRule>
  </conditionalFormatting>
  <conditionalFormatting sqref="C47">
    <cfRule type="cellIs" dxfId="4389" priority="1247" operator="between">
      <formula>0</formula>
      <formula>0.0001</formula>
    </cfRule>
    <cfRule type="cellIs" dxfId="4388" priority="1248" operator="greaterThanOrEqual">
      <formula>10</formula>
    </cfRule>
    <cfRule type="cellIs" dxfId="4387" priority="1249" operator="between">
      <formula>1</formula>
      <formula>10</formula>
    </cfRule>
    <cfRule type="cellIs" dxfId="4386" priority="1250" operator="between">
      <formula>0.1</formula>
      <formula>1</formula>
    </cfRule>
    <cfRule type="cellIs" dxfId="4385" priority="1251" operator="between">
      <formula>0.001</formula>
      <formula>0.01</formula>
    </cfRule>
    <cfRule type="cellIs" dxfId="4384" priority="1252" operator="between">
      <formula>0.0001</formula>
      <formula>0.001</formula>
    </cfRule>
    <cfRule type="cellIs" dxfId="4383" priority="1253" operator="between">
      <formula>0.01</formula>
      <formula>0.1</formula>
    </cfRule>
  </conditionalFormatting>
  <conditionalFormatting sqref="C47">
    <cfRule type="cellIs" dxfId="4382" priority="1246" operator="equal">
      <formula>0</formula>
    </cfRule>
  </conditionalFormatting>
  <conditionalFormatting sqref="D47">
    <cfRule type="cellIs" dxfId="4381" priority="1183" operator="between">
      <formula>0</formula>
      <formula>0.0001</formula>
    </cfRule>
    <cfRule type="cellIs" dxfId="4380" priority="1184" operator="greaterThanOrEqual">
      <formula>10</formula>
    </cfRule>
    <cfRule type="cellIs" dxfId="4379" priority="1185" operator="between">
      <formula>1</formula>
      <formula>10</formula>
    </cfRule>
    <cfRule type="cellIs" dxfId="4378" priority="1186" operator="between">
      <formula>0.1</formula>
      <formula>1</formula>
    </cfRule>
    <cfRule type="cellIs" dxfId="4377" priority="1187" operator="between">
      <formula>0.001</formula>
      <formula>0.01</formula>
    </cfRule>
    <cfRule type="cellIs" dxfId="4376" priority="1188" operator="between">
      <formula>0.0001</formula>
      <formula>0.001</formula>
    </cfRule>
    <cfRule type="cellIs" dxfId="4375" priority="1189" operator="between">
      <formula>0.01</formula>
      <formula>0.1</formula>
    </cfRule>
  </conditionalFormatting>
  <conditionalFormatting sqref="D47">
    <cfRule type="cellIs" dxfId="4374" priority="1182" operator="equal">
      <formula>0</formula>
    </cfRule>
  </conditionalFormatting>
  <conditionalFormatting sqref="B42:C42">
    <cfRule type="cellIs" dxfId="4373" priority="1119" operator="between">
      <formula>0</formula>
      <formula>0.0001</formula>
    </cfRule>
    <cfRule type="cellIs" dxfId="4372" priority="1120" operator="greaterThanOrEqual">
      <formula>10</formula>
    </cfRule>
    <cfRule type="cellIs" dxfId="4371" priority="1121" operator="between">
      <formula>1</formula>
      <formula>10</formula>
    </cfRule>
    <cfRule type="cellIs" dxfId="4370" priority="1122" operator="between">
      <formula>0.1</formula>
      <formula>1</formula>
    </cfRule>
    <cfRule type="cellIs" dxfId="4369" priority="1123" operator="between">
      <formula>0.001</formula>
      <formula>0.01</formula>
    </cfRule>
    <cfRule type="cellIs" dxfId="4368" priority="1124" operator="between">
      <formula>0.0001</formula>
      <formula>0.001</formula>
    </cfRule>
    <cfRule type="cellIs" dxfId="4367" priority="1125" operator="between">
      <formula>0.01</formula>
      <formula>0.1</formula>
    </cfRule>
  </conditionalFormatting>
  <conditionalFormatting sqref="B42:C42">
    <cfRule type="cellIs" dxfId="4366" priority="1118" operator="equal">
      <formula>0</formula>
    </cfRule>
  </conditionalFormatting>
  <conditionalFormatting sqref="F42:G42">
    <cfRule type="cellIs" dxfId="4365" priority="1111" operator="between">
      <formula>0</formula>
      <formula>0.0001</formula>
    </cfRule>
    <cfRule type="cellIs" dxfId="4364" priority="1112" operator="greaterThanOrEqual">
      <formula>10</formula>
    </cfRule>
    <cfRule type="cellIs" dxfId="4363" priority="1113" operator="between">
      <formula>1</formula>
      <formula>10</formula>
    </cfRule>
    <cfRule type="cellIs" dxfId="4362" priority="1114" operator="between">
      <formula>0.1</formula>
      <formula>1</formula>
    </cfRule>
    <cfRule type="cellIs" dxfId="4361" priority="1115" operator="between">
      <formula>0.001</formula>
      <formula>0.01</formula>
    </cfRule>
    <cfRule type="cellIs" dxfId="4360" priority="1116" operator="between">
      <formula>0.0001</formula>
      <formula>0.001</formula>
    </cfRule>
    <cfRule type="cellIs" dxfId="4359" priority="1117" operator="between">
      <formula>0.01</formula>
      <formula>0.1</formula>
    </cfRule>
  </conditionalFormatting>
  <conditionalFormatting sqref="F42:G42">
    <cfRule type="cellIs" dxfId="4358" priority="1110" operator="equal">
      <formula>0</formula>
    </cfRule>
  </conditionalFormatting>
  <conditionalFormatting sqref="J42:K42">
    <cfRule type="cellIs" dxfId="4357" priority="1103" operator="between">
      <formula>0</formula>
      <formula>0.0001</formula>
    </cfRule>
    <cfRule type="cellIs" dxfId="4356" priority="1104" operator="greaterThanOrEqual">
      <formula>10</formula>
    </cfRule>
    <cfRule type="cellIs" dxfId="4355" priority="1105" operator="between">
      <formula>1</formula>
      <formula>10</formula>
    </cfRule>
    <cfRule type="cellIs" dxfId="4354" priority="1106" operator="between">
      <formula>0.1</formula>
      <formula>1</formula>
    </cfRule>
    <cfRule type="cellIs" dxfId="4353" priority="1107" operator="between">
      <formula>0.001</formula>
      <formula>0.01</formula>
    </cfRule>
    <cfRule type="cellIs" dxfId="4352" priority="1108" operator="between">
      <formula>0.0001</formula>
      <formula>0.001</formula>
    </cfRule>
    <cfRule type="cellIs" dxfId="4351" priority="1109" operator="between">
      <formula>0.01</formula>
      <formula>0.1</formula>
    </cfRule>
  </conditionalFormatting>
  <conditionalFormatting sqref="J42:K42">
    <cfRule type="cellIs" dxfId="4350" priority="1102" operator="equal">
      <formula>0</formula>
    </cfRule>
  </conditionalFormatting>
  <conditionalFormatting sqref="N42:O42">
    <cfRule type="cellIs" dxfId="4349" priority="1095" operator="between">
      <formula>0</formula>
      <formula>0.0001</formula>
    </cfRule>
    <cfRule type="cellIs" dxfId="4348" priority="1096" operator="greaterThanOrEqual">
      <formula>10</formula>
    </cfRule>
    <cfRule type="cellIs" dxfId="4347" priority="1097" operator="between">
      <formula>1</formula>
      <formula>10</formula>
    </cfRule>
    <cfRule type="cellIs" dxfId="4346" priority="1098" operator="between">
      <formula>0.1</formula>
      <formula>1</formula>
    </cfRule>
    <cfRule type="cellIs" dxfId="4345" priority="1099" operator="between">
      <formula>0.001</formula>
      <formula>0.01</formula>
    </cfRule>
    <cfRule type="cellIs" dxfId="4344" priority="1100" operator="between">
      <formula>0.0001</formula>
      <formula>0.001</formula>
    </cfRule>
    <cfRule type="cellIs" dxfId="4343" priority="1101" operator="between">
      <formula>0.01</formula>
      <formula>0.1</formula>
    </cfRule>
  </conditionalFormatting>
  <conditionalFormatting sqref="R47">
    <cfRule type="cellIs" dxfId="4342" priority="1053" operator="greaterThanOrEqual">
      <formula>10</formula>
    </cfRule>
    <cfRule type="cellIs" dxfId="4341" priority="1054" operator="between">
      <formula>1</formula>
      <formula>10</formula>
    </cfRule>
    <cfRule type="cellIs" dxfId="4340" priority="1055" operator="between">
      <formula>0.1</formula>
      <formula>1</formula>
    </cfRule>
    <cfRule type="cellIs" dxfId="4339" priority="1056" operator="between">
      <formula>0.001</formula>
      <formula>0.01</formula>
    </cfRule>
    <cfRule type="cellIs" dxfId="4338" priority="1057" operator="between">
      <formula>0</formula>
      <formula>0.001</formula>
    </cfRule>
    <cfRule type="cellIs" dxfId="4337" priority="1058" operator="between">
      <formula>0.01</formula>
      <formula>0.1</formula>
    </cfRule>
  </conditionalFormatting>
  <conditionalFormatting sqref="F47">
    <cfRule type="cellIs" dxfId="4336" priority="1041" operator="between">
      <formula>0</formula>
      <formula>0.0001</formula>
    </cfRule>
    <cfRule type="cellIs" dxfId="4335" priority="1042" operator="greaterThanOrEqual">
      <formula>10</formula>
    </cfRule>
    <cfRule type="cellIs" dxfId="4334" priority="1043" operator="between">
      <formula>1</formula>
      <formula>10</formula>
    </cfRule>
    <cfRule type="cellIs" dxfId="4333" priority="1044" operator="between">
      <formula>0.1</formula>
      <formula>1</formula>
    </cfRule>
    <cfRule type="cellIs" dxfId="4332" priority="1045" operator="between">
      <formula>0.001</formula>
      <formula>0.01</formula>
    </cfRule>
    <cfRule type="cellIs" dxfId="4331" priority="1046" operator="between">
      <formula>0.0001</formula>
      <formula>0.001</formula>
    </cfRule>
    <cfRule type="cellIs" dxfId="4330" priority="1047" operator="between">
      <formula>0.01</formula>
      <formula>0.1</formula>
    </cfRule>
  </conditionalFormatting>
  <conditionalFormatting sqref="F47">
    <cfRule type="cellIs" dxfId="4329" priority="1040" operator="equal">
      <formula>0</formula>
    </cfRule>
  </conditionalFormatting>
  <conditionalFormatting sqref="G47">
    <cfRule type="cellIs" dxfId="4328" priority="1033" operator="between">
      <formula>0</formula>
      <formula>0.0001</formula>
    </cfRule>
    <cfRule type="cellIs" dxfId="4327" priority="1034" operator="greaterThanOrEqual">
      <formula>10</formula>
    </cfRule>
    <cfRule type="cellIs" dxfId="4326" priority="1035" operator="between">
      <formula>1</formula>
      <formula>10</formula>
    </cfRule>
    <cfRule type="cellIs" dxfId="4325" priority="1036" operator="between">
      <formula>0.1</formula>
      <formula>1</formula>
    </cfRule>
    <cfRule type="cellIs" dxfId="4324" priority="1037" operator="between">
      <formula>0.001</formula>
      <formula>0.01</formula>
    </cfRule>
    <cfRule type="cellIs" dxfId="4323" priority="1038" operator="between">
      <formula>0.0001</formula>
      <formula>0.001</formula>
    </cfRule>
    <cfRule type="cellIs" dxfId="4322" priority="1039" operator="between">
      <formula>0.01</formula>
      <formula>0.1</formula>
    </cfRule>
  </conditionalFormatting>
  <conditionalFormatting sqref="G47">
    <cfRule type="cellIs" dxfId="4321" priority="1032" operator="equal">
      <formula>0</formula>
    </cfRule>
  </conditionalFormatting>
  <conditionalFormatting sqref="H47">
    <cfRule type="cellIs" dxfId="4320" priority="1025" operator="between">
      <formula>0</formula>
      <formula>0.0001</formula>
    </cfRule>
    <cfRule type="cellIs" dxfId="4319" priority="1026" operator="greaterThanOrEqual">
      <formula>10</formula>
    </cfRule>
    <cfRule type="cellIs" dxfId="4318" priority="1027" operator="between">
      <formula>1</formula>
      <formula>10</formula>
    </cfRule>
    <cfRule type="cellIs" dxfId="4317" priority="1028" operator="between">
      <formula>0.1</formula>
      <formula>1</formula>
    </cfRule>
    <cfRule type="cellIs" dxfId="4316" priority="1029" operator="between">
      <formula>0.001</formula>
      <formula>0.01</formula>
    </cfRule>
    <cfRule type="cellIs" dxfId="4315" priority="1030" operator="between">
      <formula>0.0001</formula>
      <formula>0.001</formula>
    </cfRule>
    <cfRule type="cellIs" dxfId="4314" priority="1031" operator="between">
      <formula>0.01</formula>
      <formula>0.1</formula>
    </cfRule>
  </conditionalFormatting>
  <conditionalFormatting sqref="H47">
    <cfRule type="cellIs" dxfId="4313" priority="1024" operator="equal">
      <formula>0</formula>
    </cfRule>
  </conditionalFormatting>
  <conditionalFormatting sqref="J47">
    <cfRule type="cellIs" dxfId="4312" priority="1011" operator="between">
      <formula>0</formula>
      <formula>0.0001</formula>
    </cfRule>
    <cfRule type="cellIs" dxfId="4311" priority="1012" operator="greaterThanOrEqual">
      <formula>10</formula>
    </cfRule>
    <cfRule type="cellIs" dxfId="4310" priority="1013" operator="between">
      <formula>1</formula>
      <formula>10</formula>
    </cfRule>
    <cfRule type="cellIs" dxfId="4309" priority="1014" operator="between">
      <formula>0.1</formula>
      <formula>1</formula>
    </cfRule>
    <cfRule type="cellIs" dxfId="4308" priority="1015" operator="between">
      <formula>0.001</formula>
      <formula>0.01</formula>
    </cfRule>
    <cfRule type="cellIs" dxfId="4307" priority="1016" operator="between">
      <formula>0.0001</formula>
      <formula>0.001</formula>
    </cfRule>
    <cfRule type="cellIs" dxfId="4306" priority="1017" operator="between">
      <formula>0.01</formula>
      <formula>0.1</formula>
    </cfRule>
  </conditionalFormatting>
  <conditionalFormatting sqref="J47">
    <cfRule type="cellIs" dxfId="4305" priority="1010" operator="equal">
      <formula>0</formula>
    </cfRule>
  </conditionalFormatting>
  <conditionalFormatting sqref="K47">
    <cfRule type="cellIs" dxfId="4304" priority="1003" operator="between">
      <formula>0</formula>
      <formula>0.0001</formula>
    </cfRule>
    <cfRule type="cellIs" dxfId="4303" priority="1004" operator="greaterThanOrEqual">
      <formula>10</formula>
    </cfRule>
    <cfRule type="cellIs" dxfId="4302" priority="1005" operator="between">
      <formula>1</formula>
      <formula>10</formula>
    </cfRule>
    <cfRule type="cellIs" dxfId="4301" priority="1006" operator="between">
      <formula>0.1</formula>
      <formula>1</formula>
    </cfRule>
    <cfRule type="cellIs" dxfId="4300" priority="1007" operator="between">
      <formula>0.001</formula>
      <formula>0.01</formula>
    </cfRule>
    <cfRule type="cellIs" dxfId="4299" priority="1008" operator="between">
      <formula>0.0001</formula>
      <formula>0.001</formula>
    </cfRule>
    <cfRule type="cellIs" dxfId="4298" priority="1009" operator="between">
      <formula>0.01</formula>
      <formula>0.1</formula>
    </cfRule>
  </conditionalFormatting>
  <conditionalFormatting sqref="K47">
    <cfRule type="cellIs" dxfId="4297" priority="1002" operator="equal">
      <formula>0</formula>
    </cfRule>
  </conditionalFormatting>
  <conditionalFormatting sqref="L47">
    <cfRule type="cellIs" dxfId="4296" priority="995" operator="between">
      <formula>0</formula>
      <formula>0.0001</formula>
    </cfRule>
    <cfRule type="cellIs" dxfId="4295" priority="996" operator="greaterThanOrEqual">
      <formula>10</formula>
    </cfRule>
    <cfRule type="cellIs" dxfId="4294" priority="997" operator="between">
      <formula>1</formula>
      <formula>10</formula>
    </cfRule>
    <cfRule type="cellIs" dxfId="4293" priority="998" operator="between">
      <formula>0.1</formula>
      <formula>1</formula>
    </cfRule>
    <cfRule type="cellIs" dxfId="4292" priority="999" operator="between">
      <formula>0.001</formula>
      <formula>0.01</formula>
    </cfRule>
    <cfRule type="cellIs" dxfId="4291" priority="1000" operator="between">
      <formula>0.0001</formula>
      <formula>0.001</formula>
    </cfRule>
    <cfRule type="cellIs" dxfId="4290" priority="1001" operator="between">
      <formula>0.01</formula>
      <formula>0.1</formula>
    </cfRule>
  </conditionalFormatting>
  <conditionalFormatting sqref="L47">
    <cfRule type="cellIs" dxfId="4289" priority="994" operator="equal">
      <formula>0</formula>
    </cfRule>
  </conditionalFormatting>
  <conditionalFormatting sqref="N47">
    <cfRule type="cellIs" dxfId="4288" priority="981" operator="between">
      <formula>0</formula>
      <formula>0.0001</formula>
    </cfRule>
    <cfRule type="cellIs" dxfId="4287" priority="982" operator="greaterThanOrEqual">
      <formula>10</formula>
    </cfRule>
    <cfRule type="cellIs" dxfId="4286" priority="983" operator="between">
      <formula>1</formula>
      <formula>10</formula>
    </cfRule>
    <cfRule type="cellIs" dxfId="4285" priority="984" operator="between">
      <formula>0.1</formula>
      <formula>1</formula>
    </cfRule>
    <cfRule type="cellIs" dxfId="4284" priority="985" operator="between">
      <formula>0.001</formula>
      <formula>0.01</formula>
    </cfRule>
    <cfRule type="cellIs" dxfId="4283" priority="986" operator="between">
      <formula>0.0001</formula>
      <formula>0.001</formula>
    </cfRule>
    <cfRule type="cellIs" dxfId="4282" priority="987" operator="between">
      <formula>0.01</formula>
      <formula>0.1</formula>
    </cfRule>
  </conditionalFormatting>
  <conditionalFormatting sqref="N47">
    <cfRule type="cellIs" dxfId="4281" priority="980" operator="equal">
      <formula>0</formula>
    </cfRule>
  </conditionalFormatting>
  <conditionalFormatting sqref="O47">
    <cfRule type="cellIs" dxfId="4280" priority="973" operator="between">
      <formula>0</formula>
      <formula>0.0001</formula>
    </cfRule>
    <cfRule type="cellIs" dxfId="4279" priority="974" operator="greaterThanOrEqual">
      <formula>10</formula>
    </cfRule>
    <cfRule type="cellIs" dxfId="4278" priority="975" operator="between">
      <formula>1</formula>
      <formula>10</formula>
    </cfRule>
    <cfRule type="cellIs" dxfId="4277" priority="976" operator="between">
      <formula>0.1</formula>
      <formula>1</formula>
    </cfRule>
    <cfRule type="cellIs" dxfId="4276" priority="977" operator="between">
      <formula>0.001</formula>
      <formula>0.01</formula>
    </cfRule>
    <cfRule type="cellIs" dxfId="4275" priority="978" operator="between">
      <formula>0.0001</formula>
      <formula>0.001</formula>
    </cfRule>
    <cfRule type="cellIs" dxfId="4274" priority="979" operator="between">
      <formula>0.01</formula>
      <formula>0.1</formula>
    </cfRule>
  </conditionalFormatting>
  <conditionalFormatting sqref="O47">
    <cfRule type="cellIs" dxfId="4273" priority="972" operator="equal">
      <formula>0</formula>
    </cfRule>
  </conditionalFormatting>
  <conditionalFormatting sqref="P47">
    <cfRule type="cellIs" dxfId="4272" priority="965" operator="between">
      <formula>0</formula>
      <formula>0.0001</formula>
    </cfRule>
    <cfRule type="cellIs" dxfId="4271" priority="966" operator="greaterThanOrEqual">
      <formula>10</formula>
    </cfRule>
    <cfRule type="cellIs" dxfId="4270" priority="967" operator="between">
      <formula>1</formula>
      <formula>10</formula>
    </cfRule>
    <cfRule type="cellIs" dxfId="4269" priority="968" operator="between">
      <formula>0.1</formula>
      <formula>1</formula>
    </cfRule>
    <cfRule type="cellIs" dxfId="4268" priority="969" operator="between">
      <formula>0.001</formula>
      <formula>0.01</formula>
    </cfRule>
    <cfRule type="cellIs" dxfId="4267" priority="970" operator="between">
      <formula>0.0001</formula>
      <formula>0.001</formula>
    </cfRule>
    <cfRule type="cellIs" dxfId="4266" priority="971" operator="between">
      <formula>0.01</formula>
      <formula>0.1</formula>
    </cfRule>
  </conditionalFormatting>
  <conditionalFormatting sqref="P47">
    <cfRule type="cellIs" dxfId="4265" priority="964" operator="equal">
      <formula>0</formula>
    </cfRule>
  </conditionalFormatting>
  <conditionalFormatting sqref="A50">
    <cfRule type="cellIs" dxfId="4264" priority="957" operator="greaterThanOrEqual">
      <formula>10</formula>
    </cfRule>
    <cfRule type="cellIs" dxfId="4263" priority="958" operator="between">
      <formula>1</formula>
      <formula>10</formula>
    </cfRule>
    <cfRule type="cellIs" dxfId="4262" priority="959" operator="between">
      <formula>0.1</formula>
      <formula>1</formula>
    </cfRule>
    <cfRule type="cellIs" dxfId="4261" priority="960" operator="between">
      <formula>0.001</formula>
      <formula>0.01</formula>
    </cfRule>
    <cfRule type="cellIs" dxfId="4260" priority="961" operator="between">
      <formula>0</formula>
      <formula>0.001</formula>
    </cfRule>
    <cfRule type="cellIs" dxfId="4259" priority="962" operator="between">
      <formula>0.01</formula>
      <formula>0.1</formula>
    </cfRule>
  </conditionalFormatting>
  <conditionalFormatting sqref="A50">
    <cfRule type="cellIs" dxfId="4258" priority="956" operator="equal">
      <formula>0</formula>
    </cfRule>
  </conditionalFormatting>
  <conditionalFormatting sqref="F31:H31">
    <cfRule type="cellIs" dxfId="4257" priority="949" operator="between">
      <formula>0</formula>
      <formula>0.0001</formula>
    </cfRule>
    <cfRule type="cellIs" dxfId="4256" priority="950" operator="greaterThanOrEqual">
      <formula>10</formula>
    </cfRule>
    <cfRule type="cellIs" dxfId="4255" priority="951" operator="between">
      <formula>1</formula>
      <formula>10</formula>
    </cfRule>
    <cfRule type="cellIs" dxfId="4254" priority="952" operator="between">
      <formula>0.1</formula>
      <formula>1</formula>
    </cfRule>
    <cfRule type="cellIs" dxfId="4253" priority="953" operator="between">
      <formula>0.001</formula>
      <formula>0.01</formula>
    </cfRule>
    <cfRule type="cellIs" dxfId="4252" priority="954" operator="between">
      <formula>0.0001</formula>
      <formula>0.001</formula>
    </cfRule>
    <cfRule type="cellIs" dxfId="4251" priority="955" operator="between">
      <formula>0.01</formula>
      <formula>0.1</formula>
    </cfRule>
  </conditionalFormatting>
  <conditionalFormatting sqref="F31:H31">
    <cfRule type="cellIs" dxfId="4250" priority="948" operator="equal">
      <formula>0</formula>
    </cfRule>
  </conditionalFormatting>
  <conditionalFormatting sqref="I31">
    <cfRule type="cellIs" dxfId="4249" priority="941" operator="between">
      <formula>0</formula>
      <formula>0.0001</formula>
    </cfRule>
    <cfRule type="cellIs" dxfId="4248" priority="942" operator="greaterThanOrEqual">
      <formula>10</formula>
    </cfRule>
    <cfRule type="cellIs" dxfId="4247" priority="943" operator="between">
      <formula>1</formula>
      <formula>10</formula>
    </cfRule>
    <cfRule type="cellIs" dxfId="4246" priority="944" operator="between">
      <formula>0.1</formula>
      <formula>1</formula>
    </cfRule>
    <cfRule type="cellIs" dxfId="4245" priority="945" operator="between">
      <formula>0.001</formula>
      <formula>0.01</formula>
    </cfRule>
    <cfRule type="cellIs" dxfId="4244" priority="946" operator="between">
      <formula>0.0001</formula>
      <formula>0.001</formula>
    </cfRule>
    <cfRule type="cellIs" dxfId="4243" priority="947" operator="between">
      <formula>0.01</formula>
      <formula>0.1</formula>
    </cfRule>
  </conditionalFormatting>
  <conditionalFormatting sqref="I31">
    <cfRule type="cellIs" dxfId="4242" priority="940" operator="equal">
      <formula>0</formula>
    </cfRule>
  </conditionalFormatting>
  <conditionalFormatting sqref="J31:L31">
    <cfRule type="cellIs" dxfId="4241" priority="933" operator="between">
      <formula>0</formula>
      <formula>0.0001</formula>
    </cfRule>
    <cfRule type="cellIs" dxfId="4240" priority="934" operator="greaterThanOrEqual">
      <formula>10</formula>
    </cfRule>
    <cfRule type="cellIs" dxfId="4239" priority="935" operator="between">
      <formula>1</formula>
      <formula>10</formula>
    </cfRule>
    <cfRule type="cellIs" dxfId="4238" priority="936" operator="between">
      <formula>0.1</formula>
      <formula>1</formula>
    </cfRule>
    <cfRule type="cellIs" dxfId="4237" priority="937" operator="between">
      <formula>0.001</formula>
      <formula>0.01</formula>
    </cfRule>
    <cfRule type="cellIs" dxfId="4236" priority="938" operator="between">
      <formula>0.0001</formula>
      <formula>0.001</formula>
    </cfRule>
    <cfRule type="cellIs" dxfId="4235" priority="939" operator="between">
      <formula>0.01</formula>
      <formula>0.1</formula>
    </cfRule>
  </conditionalFormatting>
  <conditionalFormatting sqref="J31:L31">
    <cfRule type="cellIs" dxfId="4234" priority="932" operator="equal">
      <formula>0</formula>
    </cfRule>
  </conditionalFormatting>
  <conditionalFormatting sqref="M31">
    <cfRule type="cellIs" dxfId="4233" priority="925" operator="between">
      <formula>0</formula>
      <formula>0.0001</formula>
    </cfRule>
    <cfRule type="cellIs" dxfId="4232" priority="926" operator="greaterThanOrEqual">
      <formula>10</formula>
    </cfRule>
    <cfRule type="cellIs" dxfId="4231" priority="927" operator="between">
      <formula>1</formula>
      <formula>10</formula>
    </cfRule>
    <cfRule type="cellIs" dxfId="4230" priority="928" operator="between">
      <formula>0.1</formula>
      <formula>1</formula>
    </cfRule>
    <cfRule type="cellIs" dxfId="4229" priority="929" operator="between">
      <formula>0.001</formula>
      <formula>0.01</formula>
    </cfRule>
    <cfRule type="cellIs" dxfId="4228" priority="930" operator="between">
      <formula>0.0001</formula>
      <formula>0.001</formula>
    </cfRule>
    <cfRule type="cellIs" dxfId="4227" priority="931" operator="between">
      <formula>0.01</formula>
      <formula>0.1</formula>
    </cfRule>
  </conditionalFormatting>
  <conditionalFormatting sqref="M31">
    <cfRule type="cellIs" dxfId="4226" priority="924" operator="equal">
      <formula>0</formula>
    </cfRule>
  </conditionalFormatting>
  <conditionalFormatting sqref="J31:L31">
    <cfRule type="cellIs" dxfId="4225" priority="917" operator="between">
      <formula>0</formula>
      <formula>0.0001</formula>
    </cfRule>
    <cfRule type="cellIs" dxfId="4224" priority="918" operator="greaterThanOrEqual">
      <formula>10</formula>
    </cfRule>
    <cfRule type="cellIs" dxfId="4223" priority="919" operator="between">
      <formula>1</formula>
      <formula>10</formula>
    </cfRule>
    <cfRule type="cellIs" dxfId="4222" priority="920" operator="between">
      <formula>0.1</formula>
      <formula>1</formula>
    </cfRule>
    <cfRule type="cellIs" dxfId="4221" priority="921" operator="between">
      <formula>0.001</formula>
      <formula>0.01</formula>
    </cfRule>
    <cfRule type="cellIs" dxfId="4220" priority="922" operator="between">
      <formula>0.0001</formula>
      <formula>0.001</formula>
    </cfRule>
    <cfRule type="cellIs" dxfId="4219" priority="923" operator="between">
      <formula>0.01</formula>
      <formula>0.1</formula>
    </cfRule>
  </conditionalFormatting>
  <conditionalFormatting sqref="J31:L31">
    <cfRule type="cellIs" dxfId="4218" priority="916" operator="equal">
      <formula>0</formula>
    </cfRule>
  </conditionalFormatting>
  <conditionalFormatting sqref="M31">
    <cfRule type="cellIs" dxfId="4217" priority="909" operator="between">
      <formula>0</formula>
      <formula>0.0001</formula>
    </cfRule>
    <cfRule type="cellIs" dxfId="4216" priority="910" operator="greaterThanOrEqual">
      <formula>10</formula>
    </cfRule>
    <cfRule type="cellIs" dxfId="4215" priority="911" operator="between">
      <formula>1</formula>
      <formula>10</formula>
    </cfRule>
    <cfRule type="cellIs" dxfId="4214" priority="912" operator="between">
      <formula>0.1</formula>
      <formula>1</formula>
    </cfRule>
    <cfRule type="cellIs" dxfId="4213" priority="913" operator="between">
      <formula>0.001</formula>
      <formula>0.01</formula>
    </cfRule>
    <cfRule type="cellIs" dxfId="4212" priority="914" operator="between">
      <formula>0.0001</formula>
      <formula>0.001</formula>
    </cfRule>
    <cfRule type="cellIs" dxfId="4211" priority="915" operator="between">
      <formula>0.01</formula>
      <formula>0.1</formula>
    </cfRule>
  </conditionalFormatting>
  <conditionalFormatting sqref="M31">
    <cfRule type="cellIs" dxfId="4210" priority="908" operator="equal">
      <formula>0</formula>
    </cfRule>
  </conditionalFormatting>
  <conditionalFormatting sqref="N31 P31:Q31">
    <cfRule type="cellIs" dxfId="4209" priority="907" operator="equal">
      <formula>0</formula>
    </cfRule>
  </conditionalFormatting>
  <conditionalFormatting sqref="N31 P31:Q31">
    <cfRule type="cellIs" dxfId="4208" priority="906" operator="equal">
      <formula>0</formula>
    </cfRule>
  </conditionalFormatting>
  <conditionalFormatting sqref="N31 P31:Q31">
    <cfRule type="cellIs" dxfId="4207" priority="905" operator="equal">
      <formula>0</formula>
    </cfRule>
  </conditionalFormatting>
  <conditionalFormatting sqref="N31 P31:Q31">
    <cfRule type="cellIs" dxfId="4206" priority="904" operator="equal">
      <formula>0</formula>
    </cfRule>
  </conditionalFormatting>
  <conditionalFormatting sqref="N31 P31:Q31">
    <cfRule type="cellIs" dxfId="4205" priority="903" operator="equal">
      <formula>0</formula>
    </cfRule>
  </conditionalFormatting>
  <conditionalFormatting sqref="N31:P31">
    <cfRule type="cellIs" dxfId="4204" priority="896" operator="between">
      <formula>0</formula>
      <formula>0.0001</formula>
    </cfRule>
    <cfRule type="cellIs" dxfId="4203" priority="897" operator="greaterThanOrEqual">
      <formula>10</formula>
    </cfRule>
    <cfRule type="cellIs" dxfId="4202" priority="898" operator="between">
      <formula>1</formula>
      <formula>10</formula>
    </cfRule>
    <cfRule type="cellIs" dxfId="4201" priority="899" operator="between">
      <formula>0.1</formula>
      <formula>1</formula>
    </cfRule>
    <cfRule type="cellIs" dxfId="4200" priority="900" operator="between">
      <formula>0.001</formula>
      <formula>0.01</formula>
    </cfRule>
    <cfRule type="cellIs" dxfId="4199" priority="901" operator="between">
      <formula>0.0001</formula>
      <formula>0.001</formula>
    </cfRule>
    <cfRule type="cellIs" dxfId="4198" priority="902" operator="between">
      <formula>0.01</formula>
      <formula>0.1</formula>
    </cfRule>
  </conditionalFormatting>
  <conditionalFormatting sqref="N31:P31">
    <cfRule type="cellIs" dxfId="4197" priority="895" operator="equal">
      <formula>0</formula>
    </cfRule>
  </conditionalFormatting>
  <conditionalFormatting sqref="Q31">
    <cfRule type="cellIs" dxfId="4196" priority="888" operator="between">
      <formula>0</formula>
      <formula>0.0001</formula>
    </cfRule>
    <cfRule type="cellIs" dxfId="4195" priority="889" operator="greaterThanOrEqual">
      <formula>10</formula>
    </cfRule>
    <cfRule type="cellIs" dxfId="4194" priority="890" operator="between">
      <formula>1</formula>
      <formula>10</formula>
    </cfRule>
    <cfRule type="cellIs" dxfId="4193" priority="891" operator="between">
      <formula>0.1</formula>
      <formula>1</formula>
    </cfRule>
    <cfRule type="cellIs" dxfId="4192" priority="892" operator="between">
      <formula>0.001</formula>
      <formula>0.01</formula>
    </cfRule>
    <cfRule type="cellIs" dxfId="4191" priority="893" operator="between">
      <formula>0.0001</formula>
      <formula>0.001</formula>
    </cfRule>
    <cfRule type="cellIs" dxfId="4190" priority="894" operator="between">
      <formula>0.01</formula>
      <formula>0.1</formula>
    </cfRule>
  </conditionalFormatting>
  <conditionalFormatting sqref="Q31">
    <cfRule type="cellIs" dxfId="4189" priority="887" operator="equal">
      <formula>0</formula>
    </cfRule>
  </conditionalFormatting>
  <conditionalFormatting sqref="N31:P31">
    <cfRule type="cellIs" dxfId="4188" priority="880" operator="between">
      <formula>0</formula>
      <formula>0.0001</formula>
    </cfRule>
    <cfRule type="cellIs" dxfId="4187" priority="881" operator="greaterThanOrEqual">
      <formula>10</formula>
    </cfRule>
    <cfRule type="cellIs" dxfId="4186" priority="882" operator="between">
      <formula>1</formula>
      <formula>10</formula>
    </cfRule>
    <cfRule type="cellIs" dxfId="4185" priority="883" operator="between">
      <formula>0.1</formula>
      <formula>1</formula>
    </cfRule>
    <cfRule type="cellIs" dxfId="4184" priority="884" operator="between">
      <formula>0.001</formula>
      <formula>0.01</formula>
    </cfRule>
    <cfRule type="cellIs" dxfId="4183" priority="885" operator="between">
      <formula>0.0001</formula>
      <formula>0.001</formula>
    </cfRule>
    <cfRule type="cellIs" dxfId="4182" priority="886" operator="between">
      <formula>0.01</formula>
      <formula>0.1</formula>
    </cfRule>
  </conditionalFormatting>
  <conditionalFormatting sqref="N31:P31">
    <cfRule type="cellIs" dxfId="4181" priority="879" operator="equal">
      <formula>0</formula>
    </cfRule>
  </conditionalFormatting>
  <conditionalFormatting sqref="Q31">
    <cfRule type="cellIs" dxfId="4180" priority="872" operator="between">
      <formula>0</formula>
      <formula>0.0001</formula>
    </cfRule>
    <cfRule type="cellIs" dxfId="4179" priority="873" operator="greaterThanOrEqual">
      <formula>10</formula>
    </cfRule>
    <cfRule type="cellIs" dxfId="4178" priority="874" operator="between">
      <formula>1</formula>
      <formula>10</formula>
    </cfRule>
    <cfRule type="cellIs" dxfId="4177" priority="875" operator="between">
      <formula>0.1</formula>
      <formula>1</formula>
    </cfRule>
    <cfRule type="cellIs" dxfId="4176" priority="876" operator="between">
      <formula>0.001</formula>
      <formula>0.01</formula>
    </cfRule>
    <cfRule type="cellIs" dxfId="4175" priority="877" operator="between">
      <formula>0.0001</formula>
      <formula>0.001</formula>
    </cfRule>
    <cfRule type="cellIs" dxfId="4174" priority="878" operator="between">
      <formula>0.01</formula>
      <formula>0.1</formula>
    </cfRule>
  </conditionalFormatting>
  <conditionalFormatting sqref="Q31">
    <cfRule type="cellIs" dxfId="4173" priority="871" operator="equal">
      <formula>0</formula>
    </cfRule>
  </conditionalFormatting>
  <conditionalFormatting sqref="F38">
    <cfRule type="cellIs" dxfId="4172" priority="864" operator="between">
      <formula>0</formula>
      <formula>0.0001</formula>
    </cfRule>
    <cfRule type="cellIs" dxfId="4171" priority="865" operator="greaterThanOrEqual">
      <formula>10</formula>
    </cfRule>
    <cfRule type="cellIs" dxfId="4170" priority="866" operator="between">
      <formula>1</formula>
      <formula>10</formula>
    </cfRule>
    <cfRule type="cellIs" dxfId="4169" priority="867" operator="between">
      <formula>0.1</formula>
      <formula>1</formula>
    </cfRule>
    <cfRule type="cellIs" dxfId="4168" priority="868" operator="between">
      <formula>0.001</formula>
      <formula>0.01</formula>
    </cfRule>
    <cfRule type="cellIs" dxfId="4167" priority="869" operator="between">
      <formula>0.0001</formula>
      <formula>0.001</formula>
    </cfRule>
    <cfRule type="cellIs" dxfId="4166" priority="870" operator="between">
      <formula>0.01</formula>
      <formula>0.1</formula>
    </cfRule>
  </conditionalFormatting>
  <conditionalFormatting sqref="F38">
    <cfRule type="cellIs" dxfId="4165" priority="863" operator="equal">
      <formula>0</formula>
    </cfRule>
  </conditionalFormatting>
  <conditionalFormatting sqref="J38">
    <cfRule type="cellIs" dxfId="4164" priority="856" operator="between">
      <formula>0</formula>
      <formula>0.0001</formula>
    </cfRule>
    <cfRule type="cellIs" dxfId="4163" priority="857" operator="greaterThanOrEqual">
      <formula>10</formula>
    </cfRule>
    <cfRule type="cellIs" dxfId="4162" priority="858" operator="between">
      <formula>1</formula>
      <formula>10</formula>
    </cfRule>
    <cfRule type="cellIs" dxfId="4161" priority="859" operator="between">
      <formula>0.1</formula>
      <formula>1</formula>
    </cfRule>
    <cfRule type="cellIs" dxfId="4160" priority="860" operator="between">
      <formula>0.001</formula>
      <formula>0.01</formula>
    </cfRule>
    <cfRule type="cellIs" dxfId="4159" priority="861" operator="between">
      <formula>0.0001</formula>
      <formula>0.001</formula>
    </cfRule>
    <cfRule type="cellIs" dxfId="4158" priority="862" operator="between">
      <formula>0.01</formula>
      <formula>0.1</formula>
    </cfRule>
  </conditionalFormatting>
  <conditionalFormatting sqref="J38">
    <cfRule type="cellIs" dxfId="4157" priority="855" operator="equal">
      <formula>0</formula>
    </cfRule>
  </conditionalFormatting>
  <conditionalFormatting sqref="J38">
    <cfRule type="cellIs" dxfId="4156" priority="848" operator="between">
      <formula>0</formula>
      <formula>0.0001</formula>
    </cfRule>
    <cfRule type="cellIs" dxfId="4155" priority="849" operator="greaterThanOrEqual">
      <formula>10</formula>
    </cfRule>
    <cfRule type="cellIs" dxfId="4154" priority="850" operator="between">
      <formula>1</formula>
      <formula>10</formula>
    </cfRule>
    <cfRule type="cellIs" dxfId="4153" priority="851" operator="between">
      <formula>0.1</formula>
      <formula>1</formula>
    </cfRule>
    <cfRule type="cellIs" dxfId="4152" priority="852" operator="between">
      <formula>0.001</formula>
      <formula>0.01</formula>
    </cfRule>
    <cfRule type="cellIs" dxfId="4151" priority="853" operator="between">
      <formula>0.0001</formula>
      <formula>0.001</formula>
    </cfRule>
    <cfRule type="cellIs" dxfId="4150" priority="854" operator="between">
      <formula>0.01</formula>
      <formula>0.1</formula>
    </cfRule>
  </conditionalFormatting>
  <conditionalFormatting sqref="J38">
    <cfRule type="cellIs" dxfId="4149" priority="847" operator="equal">
      <formula>0</formula>
    </cfRule>
  </conditionalFormatting>
  <conditionalFormatting sqref="N38">
    <cfRule type="cellIs" dxfId="4148" priority="840" operator="between">
      <formula>0</formula>
      <formula>0.0001</formula>
    </cfRule>
    <cfRule type="cellIs" dxfId="4147" priority="841" operator="greaterThanOrEqual">
      <formula>10</formula>
    </cfRule>
    <cfRule type="cellIs" dxfId="4146" priority="842" operator="between">
      <formula>1</formula>
      <formula>10</formula>
    </cfRule>
    <cfRule type="cellIs" dxfId="4145" priority="843" operator="between">
      <formula>0.1</formula>
      <formula>1</formula>
    </cfRule>
    <cfRule type="cellIs" dxfId="4144" priority="844" operator="between">
      <formula>0.001</formula>
      <formula>0.01</formula>
    </cfRule>
    <cfRule type="cellIs" dxfId="4143" priority="845" operator="between">
      <formula>0.0001</formula>
      <formula>0.001</formula>
    </cfRule>
    <cfRule type="cellIs" dxfId="4142" priority="846" operator="between">
      <formula>0.01</formula>
      <formula>0.1</formula>
    </cfRule>
  </conditionalFormatting>
  <conditionalFormatting sqref="N38">
    <cfRule type="cellIs" dxfId="4141" priority="839" operator="equal">
      <formula>0</formula>
    </cfRule>
  </conditionalFormatting>
  <conditionalFormatting sqref="N38">
    <cfRule type="cellIs" dxfId="4140" priority="832" operator="between">
      <formula>0</formula>
      <formula>0.0001</formula>
    </cfRule>
    <cfRule type="cellIs" dxfId="4139" priority="833" operator="greaterThanOrEqual">
      <formula>10</formula>
    </cfRule>
    <cfRule type="cellIs" dxfId="4138" priority="834" operator="between">
      <formula>1</formula>
      <formula>10</formula>
    </cfRule>
    <cfRule type="cellIs" dxfId="4137" priority="835" operator="between">
      <formula>0.1</formula>
      <formula>1</formula>
    </cfRule>
    <cfRule type="cellIs" dxfId="4136" priority="836" operator="between">
      <formula>0.001</formula>
      <formula>0.01</formula>
    </cfRule>
    <cfRule type="cellIs" dxfId="4135" priority="837" operator="between">
      <formula>0.0001</formula>
      <formula>0.001</formula>
    </cfRule>
    <cfRule type="cellIs" dxfId="4134" priority="838" operator="between">
      <formula>0.01</formula>
      <formula>0.1</formula>
    </cfRule>
  </conditionalFormatting>
  <conditionalFormatting sqref="N38">
    <cfRule type="cellIs" dxfId="4133" priority="831" operator="equal">
      <formula>0</formula>
    </cfRule>
  </conditionalFormatting>
  <conditionalFormatting sqref="N38">
    <cfRule type="cellIs" dxfId="4132" priority="824" operator="between">
      <formula>0</formula>
      <formula>0.0001</formula>
    </cfRule>
    <cfRule type="cellIs" dxfId="4131" priority="825" operator="greaterThanOrEqual">
      <formula>10</formula>
    </cfRule>
    <cfRule type="cellIs" dxfId="4130" priority="826" operator="between">
      <formula>1</formula>
      <formula>10</formula>
    </cfRule>
    <cfRule type="cellIs" dxfId="4129" priority="827" operator="between">
      <formula>0.1</formula>
      <formula>1</formula>
    </cfRule>
    <cfRule type="cellIs" dxfId="4128" priority="828" operator="between">
      <formula>0.001</formula>
      <formula>0.01</formula>
    </cfRule>
    <cfRule type="cellIs" dxfId="4127" priority="829" operator="between">
      <formula>0.0001</formula>
      <formula>0.001</formula>
    </cfRule>
    <cfRule type="cellIs" dxfId="4126" priority="830" operator="between">
      <formula>0.01</formula>
      <formula>0.1</formula>
    </cfRule>
  </conditionalFormatting>
  <conditionalFormatting sqref="N38">
    <cfRule type="cellIs" dxfId="4125" priority="823" operator="equal">
      <formula>0</formula>
    </cfRule>
  </conditionalFormatting>
  <conditionalFormatting sqref="F32:H32">
    <cfRule type="cellIs" dxfId="4124" priority="816" operator="between">
      <formula>0</formula>
      <formula>0.0001</formula>
    </cfRule>
    <cfRule type="cellIs" dxfId="4123" priority="817" operator="greaterThanOrEqual">
      <formula>10</formula>
    </cfRule>
    <cfRule type="cellIs" dxfId="4122" priority="818" operator="between">
      <formula>1</formula>
      <formula>10</formula>
    </cfRule>
    <cfRule type="cellIs" dxfId="4121" priority="819" operator="between">
      <formula>0.1</formula>
      <formula>1</formula>
    </cfRule>
    <cfRule type="cellIs" dxfId="4120" priority="820" operator="between">
      <formula>0.001</formula>
      <formula>0.01</formula>
    </cfRule>
    <cfRule type="cellIs" dxfId="4119" priority="821" operator="between">
      <formula>0.0001</formula>
      <formula>0.001</formula>
    </cfRule>
    <cfRule type="cellIs" dxfId="4118" priority="822" operator="between">
      <formula>0.01</formula>
      <formula>0.1</formula>
    </cfRule>
  </conditionalFormatting>
  <conditionalFormatting sqref="F32:H32">
    <cfRule type="cellIs" dxfId="4117" priority="815" operator="equal">
      <formula>0</formula>
    </cfRule>
  </conditionalFormatting>
  <conditionalFormatting sqref="I32">
    <cfRule type="cellIs" dxfId="4116" priority="808" operator="between">
      <formula>0</formula>
      <formula>0.0001</formula>
    </cfRule>
    <cfRule type="cellIs" dxfId="4115" priority="809" operator="greaterThanOrEqual">
      <formula>10</formula>
    </cfRule>
    <cfRule type="cellIs" dxfId="4114" priority="810" operator="between">
      <formula>1</formula>
      <formula>10</formula>
    </cfRule>
    <cfRule type="cellIs" dxfId="4113" priority="811" operator="between">
      <formula>0.1</formula>
      <formula>1</formula>
    </cfRule>
    <cfRule type="cellIs" dxfId="4112" priority="812" operator="between">
      <formula>0.001</formula>
      <formula>0.01</formula>
    </cfRule>
    <cfRule type="cellIs" dxfId="4111" priority="813" operator="between">
      <formula>0.0001</formula>
      <formula>0.001</formula>
    </cfRule>
    <cfRule type="cellIs" dxfId="4110" priority="814" operator="between">
      <formula>0.01</formula>
      <formula>0.1</formula>
    </cfRule>
  </conditionalFormatting>
  <conditionalFormatting sqref="I32">
    <cfRule type="cellIs" dxfId="4109" priority="807" operator="equal">
      <formula>0</formula>
    </cfRule>
  </conditionalFormatting>
  <conditionalFormatting sqref="J32:L32">
    <cfRule type="cellIs" dxfId="4108" priority="800" operator="between">
      <formula>0</formula>
      <formula>0.0001</formula>
    </cfRule>
    <cfRule type="cellIs" dxfId="4107" priority="801" operator="greaterThanOrEqual">
      <formula>10</formula>
    </cfRule>
    <cfRule type="cellIs" dxfId="4106" priority="802" operator="between">
      <formula>1</formula>
      <formula>10</formula>
    </cfRule>
    <cfRule type="cellIs" dxfId="4105" priority="803" operator="between">
      <formula>0.1</formula>
      <formula>1</formula>
    </cfRule>
    <cfRule type="cellIs" dxfId="4104" priority="804" operator="between">
      <formula>0.001</formula>
      <formula>0.01</formula>
    </cfRule>
    <cfRule type="cellIs" dxfId="4103" priority="805" operator="between">
      <formula>0.0001</formula>
      <formula>0.001</formula>
    </cfRule>
    <cfRule type="cellIs" dxfId="4102" priority="806" operator="between">
      <formula>0.01</formula>
      <formula>0.1</formula>
    </cfRule>
  </conditionalFormatting>
  <conditionalFormatting sqref="J32:L32">
    <cfRule type="cellIs" dxfId="4101" priority="799" operator="equal">
      <formula>0</formula>
    </cfRule>
  </conditionalFormatting>
  <conditionalFormatting sqref="M32">
    <cfRule type="cellIs" dxfId="4100" priority="792" operator="between">
      <formula>0</formula>
      <formula>0.0001</formula>
    </cfRule>
    <cfRule type="cellIs" dxfId="4099" priority="793" operator="greaterThanOrEqual">
      <formula>10</formula>
    </cfRule>
    <cfRule type="cellIs" dxfId="4098" priority="794" operator="between">
      <formula>1</formula>
      <formula>10</formula>
    </cfRule>
    <cfRule type="cellIs" dxfId="4097" priority="795" operator="between">
      <formula>0.1</formula>
      <formula>1</formula>
    </cfRule>
    <cfRule type="cellIs" dxfId="4096" priority="796" operator="between">
      <formula>0.001</formula>
      <formula>0.01</formula>
    </cfRule>
    <cfRule type="cellIs" dxfId="4095" priority="797" operator="between">
      <formula>0.0001</formula>
      <formula>0.001</formula>
    </cfRule>
    <cfRule type="cellIs" dxfId="4094" priority="798" operator="between">
      <formula>0.01</formula>
      <formula>0.1</formula>
    </cfRule>
  </conditionalFormatting>
  <conditionalFormatting sqref="M32">
    <cfRule type="cellIs" dxfId="4093" priority="791" operator="equal">
      <formula>0</formula>
    </cfRule>
  </conditionalFormatting>
  <conditionalFormatting sqref="J32:L32">
    <cfRule type="cellIs" dxfId="4092" priority="784" operator="between">
      <formula>0</formula>
      <formula>0.0001</formula>
    </cfRule>
    <cfRule type="cellIs" dxfId="4091" priority="785" operator="greaterThanOrEqual">
      <formula>10</formula>
    </cfRule>
    <cfRule type="cellIs" dxfId="4090" priority="786" operator="between">
      <formula>1</formula>
      <formula>10</formula>
    </cfRule>
    <cfRule type="cellIs" dxfId="4089" priority="787" operator="between">
      <formula>0.1</formula>
      <formula>1</formula>
    </cfRule>
    <cfRule type="cellIs" dxfId="4088" priority="788" operator="between">
      <formula>0.001</formula>
      <formula>0.01</formula>
    </cfRule>
    <cfRule type="cellIs" dxfId="4087" priority="789" operator="between">
      <formula>0.0001</formula>
      <formula>0.001</formula>
    </cfRule>
    <cfRule type="cellIs" dxfId="4086" priority="790" operator="between">
      <formula>0.01</formula>
      <formula>0.1</formula>
    </cfRule>
  </conditionalFormatting>
  <conditionalFormatting sqref="J32:L32">
    <cfRule type="cellIs" dxfId="4085" priority="783" operator="equal">
      <formula>0</formula>
    </cfRule>
  </conditionalFormatting>
  <conditionalFormatting sqref="M32">
    <cfRule type="cellIs" dxfId="4084" priority="776" operator="between">
      <formula>0</formula>
      <formula>0.0001</formula>
    </cfRule>
    <cfRule type="cellIs" dxfId="4083" priority="777" operator="greaterThanOrEqual">
      <formula>10</formula>
    </cfRule>
    <cfRule type="cellIs" dxfId="4082" priority="778" operator="between">
      <formula>1</formula>
      <formula>10</formula>
    </cfRule>
    <cfRule type="cellIs" dxfId="4081" priority="779" operator="between">
      <formula>0.1</formula>
      <formula>1</formula>
    </cfRule>
    <cfRule type="cellIs" dxfId="4080" priority="780" operator="between">
      <formula>0.001</formula>
      <formula>0.01</formula>
    </cfRule>
    <cfRule type="cellIs" dxfId="4079" priority="781" operator="between">
      <formula>0.0001</formula>
      <formula>0.001</formula>
    </cfRule>
    <cfRule type="cellIs" dxfId="4078" priority="782" operator="between">
      <formula>0.01</formula>
      <formula>0.1</formula>
    </cfRule>
  </conditionalFormatting>
  <conditionalFormatting sqref="M32">
    <cfRule type="cellIs" dxfId="4077" priority="775" operator="equal">
      <formula>0</formula>
    </cfRule>
  </conditionalFormatting>
  <conditionalFormatting sqref="N32 P32:Q32">
    <cfRule type="cellIs" dxfId="4076" priority="774" operator="equal">
      <formula>0</formula>
    </cfRule>
  </conditionalFormatting>
  <conditionalFormatting sqref="N32 P32:Q32">
    <cfRule type="cellIs" dxfId="4075" priority="773" operator="equal">
      <formula>0</formula>
    </cfRule>
  </conditionalFormatting>
  <conditionalFormatting sqref="N32 P32:Q32">
    <cfRule type="cellIs" dxfId="4074" priority="772" operator="equal">
      <formula>0</formula>
    </cfRule>
  </conditionalFormatting>
  <conditionalFormatting sqref="N32 P32:Q32">
    <cfRule type="cellIs" dxfId="4073" priority="771" operator="equal">
      <formula>0</formula>
    </cfRule>
  </conditionalFormatting>
  <conditionalFormatting sqref="N32 P32:Q32">
    <cfRule type="cellIs" dxfId="4072" priority="770" operator="equal">
      <formula>0</formula>
    </cfRule>
  </conditionalFormatting>
  <conditionalFormatting sqref="N32:P32">
    <cfRule type="cellIs" dxfId="4071" priority="763" operator="between">
      <formula>0</formula>
      <formula>0.0001</formula>
    </cfRule>
    <cfRule type="cellIs" dxfId="4070" priority="764" operator="greaterThanOrEqual">
      <formula>10</formula>
    </cfRule>
    <cfRule type="cellIs" dxfId="4069" priority="765" operator="between">
      <formula>1</formula>
      <formula>10</formula>
    </cfRule>
    <cfRule type="cellIs" dxfId="4068" priority="766" operator="between">
      <formula>0.1</formula>
      <formula>1</formula>
    </cfRule>
    <cfRule type="cellIs" dxfId="4067" priority="767" operator="between">
      <formula>0.001</formula>
      <formula>0.01</formula>
    </cfRule>
    <cfRule type="cellIs" dxfId="4066" priority="768" operator="between">
      <formula>0.0001</formula>
      <formula>0.001</formula>
    </cfRule>
    <cfRule type="cellIs" dxfId="4065" priority="769" operator="between">
      <formula>0.01</formula>
      <formula>0.1</formula>
    </cfRule>
  </conditionalFormatting>
  <conditionalFormatting sqref="N32:P32">
    <cfRule type="cellIs" dxfId="4064" priority="762" operator="equal">
      <formula>0</formula>
    </cfRule>
  </conditionalFormatting>
  <conditionalFormatting sqref="Q32">
    <cfRule type="cellIs" dxfId="4063" priority="755" operator="between">
      <formula>0</formula>
      <formula>0.0001</formula>
    </cfRule>
    <cfRule type="cellIs" dxfId="4062" priority="756" operator="greaterThanOrEqual">
      <formula>10</formula>
    </cfRule>
    <cfRule type="cellIs" dxfId="4061" priority="757" operator="between">
      <formula>1</formula>
      <formula>10</formula>
    </cfRule>
    <cfRule type="cellIs" dxfId="4060" priority="758" operator="between">
      <formula>0.1</formula>
      <formula>1</formula>
    </cfRule>
    <cfRule type="cellIs" dxfId="4059" priority="759" operator="between">
      <formula>0.001</formula>
      <formula>0.01</formula>
    </cfRule>
    <cfRule type="cellIs" dxfId="4058" priority="760" operator="between">
      <formula>0.0001</formula>
      <formula>0.001</formula>
    </cfRule>
    <cfRule type="cellIs" dxfId="4057" priority="761" operator="between">
      <formula>0.01</formula>
      <formula>0.1</formula>
    </cfRule>
  </conditionalFormatting>
  <conditionalFormatting sqref="Q32">
    <cfRule type="cellIs" dxfId="4056" priority="754" operator="equal">
      <formula>0</formula>
    </cfRule>
  </conditionalFormatting>
  <conditionalFormatting sqref="N32:P32">
    <cfRule type="cellIs" dxfId="4055" priority="747" operator="between">
      <formula>0</formula>
      <formula>0.0001</formula>
    </cfRule>
    <cfRule type="cellIs" dxfId="4054" priority="748" operator="greaterThanOrEqual">
      <formula>10</formula>
    </cfRule>
    <cfRule type="cellIs" dxfId="4053" priority="749" operator="between">
      <formula>1</formula>
      <formula>10</formula>
    </cfRule>
    <cfRule type="cellIs" dxfId="4052" priority="750" operator="between">
      <formula>0.1</formula>
      <formula>1</formula>
    </cfRule>
    <cfRule type="cellIs" dxfId="4051" priority="751" operator="between">
      <formula>0.001</formula>
      <formula>0.01</formula>
    </cfRule>
    <cfRule type="cellIs" dxfId="4050" priority="752" operator="between">
      <formula>0.0001</formula>
      <formula>0.001</formula>
    </cfRule>
    <cfRule type="cellIs" dxfId="4049" priority="753" operator="between">
      <formula>0.01</formula>
      <formula>0.1</formula>
    </cfRule>
  </conditionalFormatting>
  <conditionalFormatting sqref="N32:P32">
    <cfRule type="cellIs" dxfId="4048" priority="746" operator="equal">
      <formula>0</formula>
    </cfRule>
  </conditionalFormatting>
  <conditionalFormatting sqref="Q32">
    <cfRule type="cellIs" dxfId="4047" priority="739" operator="between">
      <formula>0</formula>
      <formula>0.0001</formula>
    </cfRule>
    <cfRule type="cellIs" dxfId="4046" priority="740" operator="greaterThanOrEqual">
      <formula>10</formula>
    </cfRule>
    <cfRule type="cellIs" dxfId="4045" priority="741" operator="between">
      <formula>1</formula>
      <formula>10</formula>
    </cfRule>
    <cfRule type="cellIs" dxfId="4044" priority="742" operator="between">
      <formula>0.1</formula>
      <formula>1</formula>
    </cfRule>
    <cfRule type="cellIs" dxfId="4043" priority="743" operator="between">
      <formula>0.001</formula>
      <formula>0.01</formula>
    </cfRule>
    <cfRule type="cellIs" dxfId="4042" priority="744" operator="between">
      <formula>0.0001</formula>
      <formula>0.001</formula>
    </cfRule>
    <cfRule type="cellIs" dxfId="4041" priority="745" operator="between">
      <formula>0.01</formula>
      <formula>0.1</formula>
    </cfRule>
  </conditionalFormatting>
  <conditionalFormatting sqref="Q32">
    <cfRule type="cellIs" dxfId="4040" priority="738" operator="equal">
      <formula>0</formula>
    </cfRule>
  </conditionalFormatting>
  <conditionalFormatting sqref="F31:H31">
    <cfRule type="cellIs" dxfId="4039" priority="731" operator="between">
      <formula>0</formula>
      <formula>0.0001</formula>
    </cfRule>
    <cfRule type="cellIs" dxfId="4038" priority="732" operator="greaterThanOrEqual">
      <formula>10</formula>
    </cfRule>
    <cfRule type="cellIs" dxfId="4037" priority="733" operator="between">
      <formula>1</formula>
      <formula>10</formula>
    </cfRule>
    <cfRule type="cellIs" dxfId="4036" priority="734" operator="between">
      <formula>0.1</formula>
      <formula>1</formula>
    </cfRule>
    <cfRule type="cellIs" dxfId="4035" priority="735" operator="between">
      <formula>0.001</formula>
      <formula>0.01</formula>
    </cfRule>
    <cfRule type="cellIs" dxfId="4034" priority="736" operator="between">
      <formula>0.0001</formula>
      <formula>0.001</formula>
    </cfRule>
    <cfRule type="cellIs" dxfId="4033" priority="737" operator="between">
      <formula>0.01</formula>
      <formula>0.1</formula>
    </cfRule>
  </conditionalFormatting>
  <conditionalFormatting sqref="F31:H31">
    <cfRule type="cellIs" dxfId="4032" priority="730" operator="equal">
      <formula>0</formula>
    </cfRule>
  </conditionalFormatting>
  <conditionalFormatting sqref="I31">
    <cfRule type="cellIs" dxfId="4031" priority="723" operator="between">
      <formula>0</formula>
      <formula>0.0001</formula>
    </cfRule>
    <cfRule type="cellIs" dxfId="4030" priority="724" operator="greaterThanOrEqual">
      <formula>10</formula>
    </cfRule>
    <cfRule type="cellIs" dxfId="4029" priority="725" operator="between">
      <formula>1</formula>
      <formula>10</formula>
    </cfRule>
    <cfRule type="cellIs" dxfId="4028" priority="726" operator="between">
      <formula>0.1</formula>
      <formula>1</formula>
    </cfRule>
    <cfRule type="cellIs" dxfId="4027" priority="727" operator="between">
      <formula>0.001</formula>
      <formula>0.01</formula>
    </cfRule>
    <cfRule type="cellIs" dxfId="4026" priority="728" operator="between">
      <formula>0.0001</formula>
      <formula>0.001</formula>
    </cfRule>
    <cfRule type="cellIs" dxfId="4025" priority="729" operator="between">
      <formula>0.01</formula>
      <formula>0.1</formula>
    </cfRule>
  </conditionalFormatting>
  <conditionalFormatting sqref="I31">
    <cfRule type="cellIs" dxfId="4024" priority="722" operator="equal">
      <formula>0</formula>
    </cfRule>
  </conditionalFormatting>
  <conditionalFormatting sqref="J31:L31">
    <cfRule type="cellIs" dxfId="4023" priority="715" operator="between">
      <formula>0</formula>
      <formula>0.0001</formula>
    </cfRule>
    <cfRule type="cellIs" dxfId="4022" priority="716" operator="greaterThanOrEqual">
      <formula>10</formula>
    </cfRule>
    <cfRule type="cellIs" dxfId="4021" priority="717" operator="between">
      <formula>1</formula>
      <formula>10</formula>
    </cfRule>
    <cfRule type="cellIs" dxfId="4020" priority="718" operator="between">
      <formula>0.1</formula>
      <formula>1</formula>
    </cfRule>
    <cfRule type="cellIs" dxfId="4019" priority="719" operator="between">
      <formula>0.001</formula>
      <formula>0.01</formula>
    </cfRule>
    <cfRule type="cellIs" dxfId="4018" priority="720" operator="between">
      <formula>0.0001</formula>
      <formula>0.001</formula>
    </cfRule>
    <cfRule type="cellIs" dxfId="4017" priority="721" operator="between">
      <formula>0.01</formula>
      <formula>0.1</formula>
    </cfRule>
  </conditionalFormatting>
  <conditionalFormatting sqref="J31:L31">
    <cfRule type="cellIs" dxfId="4016" priority="714" operator="equal">
      <formula>0</formula>
    </cfRule>
  </conditionalFormatting>
  <conditionalFormatting sqref="M31">
    <cfRule type="cellIs" dxfId="4015" priority="707" operator="between">
      <formula>0</formula>
      <formula>0.0001</formula>
    </cfRule>
    <cfRule type="cellIs" dxfId="4014" priority="708" operator="greaterThanOrEqual">
      <formula>10</formula>
    </cfRule>
    <cfRule type="cellIs" dxfId="4013" priority="709" operator="between">
      <formula>1</formula>
      <formula>10</formula>
    </cfRule>
    <cfRule type="cellIs" dxfId="4012" priority="710" operator="between">
      <formula>0.1</formula>
      <formula>1</formula>
    </cfRule>
    <cfRule type="cellIs" dxfId="4011" priority="711" operator="between">
      <formula>0.001</formula>
      <formula>0.01</formula>
    </cfRule>
    <cfRule type="cellIs" dxfId="4010" priority="712" operator="between">
      <formula>0.0001</formula>
      <formula>0.001</formula>
    </cfRule>
    <cfRule type="cellIs" dxfId="4009" priority="713" operator="between">
      <formula>0.01</formula>
      <formula>0.1</formula>
    </cfRule>
  </conditionalFormatting>
  <conditionalFormatting sqref="M31">
    <cfRule type="cellIs" dxfId="4008" priority="706" operator="equal">
      <formula>0</formula>
    </cfRule>
  </conditionalFormatting>
  <conditionalFormatting sqref="J31:L31">
    <cfRule type="cellIs" dxfId="4007" priority="699" operator="between">
      <formula>0</formula>
      <formula>0.0001</formula>
    </cfRule>
    <cfRule type="cellIs" dxfId="4006" priority="700" operator="greaterThanOrEqual">
      <formula>10</formula>
    </cfRule>
    <cfRule type="cellIs" dxfId="4005" priority="701" operator="between">
      <formula>1</formula>
      <formula>10</formula>
    </cfRule>
    <cfRule type="cellIs" dxfId="4004" priority="702" operator="between">
      <formula>0.1</formula>
      <formula>1</formula>
    </cfRule>
    <cfRule type="cellIs" dxfId="4003" priority="703" operator="between">
      <formula>0.001</formula>
      <formula>0.01</formula>
    </cfRule>
    <cfRule type="cellIs" dxfId="4002" priority="704" operator="between">
      <formula>0.0001</formula>
      <formula>0.001</formula>
    </cfRule>
    <cfRule type="cellIs" dxfId="4001" priority="705" operator="between">
      <formula>0.01</formula>
      <formula>0.1</formula>
    </cfRule>
  </conditionalFormatting>
  <conditionalFormatting sqref="J31:L31">
    <cfRule type="cellIs" dxfId="4000" priority="698" operator="equal">
      <formula>0</formula>
    </cfRule>
  </conditionalFormatting>
  <conditionalFormatting sqref="M31">
    <cfRule type="cellIs" dxfId="3999" priority="691" operator="between">
      <formula>0</formula>
      <formula>0.0001</formula>
    </cfRule>
    <cfRule type="cellIs" dxfId="3998" priority="692" operator="greaterThanOrEqual">
      <formula>10</formula>
    </cfRule>
    <cfRule type="cellIs" dxfId="3997" priority="693" operator="between">
      <formula>1</formula>
      <formula>10</formula>
    </cfRule>
    <cfRule type="cellIs" dxfId="3996" priority="694" operator="between">
      <formula>0.1</formula>
      <formula>1</formula>
    </cfRule>
    <cfRule type="cellIs" dxfId="3995" priority="695" operator="between">
      <formula>0.001</formula>
      <formula>0.01</formula>
    </cfRule>
    <cfRule type="cellIs" dxfId="3994" priority="696" operator="between">
      <formula>0.0001</formula>
      <formula>0.001</formula>
    </cfRule>
    <cfRule type="cellIs" dxfId="3993" priority="697" operator="between">
      <formula>0.01</formula>
      <formula>0.1</formula>
    </cfRule>
  </conditionalFormatting>
  <conditionalFormatting sqref="M31">
    <cfRule type="cellIs" dxfId="3992" priority="690" operator="equal">
      <formula>0</formula>
    </cfRule>
  </conditionalFormatting>
  <conditionalFormatting sqref="J31:L31">
    <cfRule type="cellIs" dxfId="3991" priority="683" operator="between">
      <formula>0</formula>
      <formula>0.0001</formula>
    </cfRule>
    <cfRule type="cellIs" dxfId="3990" priority="684" operator="greaterThanOrEqual">
      <formula>10</formula>
    </cfRule>
    <cfRule type="cellIs" dxfId="3989" priority="685" operator="between">
      <formula>1</formula>
      <formula>10</formula>
    </cfRule>
    <cfRule type="cellIs" dxfId="3988" priority="686" operator="between">
      <formula>0.1</formula>
      <formula>1</formula>
    </cfRule>
    <cfRule type="cellIs" dxfId="3987" priority="687" operator="between">
      <formula>0.001</formula>
      <formula>0.01</formula>
    </cfRule>
    <cfRule type="cellIs" dxfId="3986" priority="688" operator="between">
      <formula>0.0001</formula>
      <formula>0.001</formula>
    </cfRule>
    <cfRule type="cellIs" dxfId="3985" priority="689" operator="between">
      <formula>0.01</formula>
      <formula>0.1</formula>
    </cfRule>
  </conditionalFormatting>
  <conditionalFormatting sqref="J31:L31">
    <cfRule type="cellIs" dxfId="3984" priority="682" operator="equal">
      <formula>0</formula>
    </cfRule>
  </conditionalFormatting>
  <conditionalFormatting sqref="M31">
    <cfRule type="cellIs" dxfId="3983" priority="675" operator="between">
      <formula>0</formula>
      <formula>0.0001</formula>
    </cfRule>
    <cfRule type="cellIs" dxfId="3982" priority="676" operator="greaterThanOrEqual">
      <formula>10</formula>
    </cfRule>
    <cfRule type="cellIs" dxfId="3981" priority="677" operator="between">
      <formula>1</formula>
      <formula>10</formula>
    </cfRule>
    <cfRule type="cellIs" dxfId="3980" priority="678" operator="between">
      <formula>0.1</formula>
      <formula>1</formula>
    </cfRule>
    <cfRule type="cellIs" dxfId="3979" priority="679" operator="between">
      <formula>0.001</formula>
      <formula>0.01</formula>
    </cfRule>
    <cfRule type="cellIs" dxfId="3978" priority="680" operator="between">
      <formula>0.0001</formula>
      <formula>0.001</formula>
    </cfRule>
    <cfRule type="cellIs" dxfId="3977" priority="681" operator="between">
      <formula>0.01</formula>
      <formula>0.1</formula>
    </cfRule>
  </conditionalFormatting>
  <conditionalFormatting sqref="M31">
    <cfRule type="cellIs" dxfId="3976" priority="674" operator="equal">
      <formula>0</formula>
    </cfRule>
  </conditionalFormatting>
  <conditionalFormatting sqref="N31 P31:Q31">
    <cfRule type="cellIs" dxfId="3975" priority="673" operator="equal">
      <formula>0</formula>
    </cfRule>
  </conditionalFormatting>
  <conditionalFormatting sqref="N31 P31:Q31">
    <cfRule type="cellIs" dxfId="3974" priority="672" operator="equal">
      <formula>0</formula>
    </cfRule>
  </conditionalFormatting>
  <conditionalFormatting sqref="N31 P31:Q31">
    <cfRule type="cellIs" dxfId="3973" priority="671" operator="equal">
      <formula>0</formula>
    </cfRule>
  </conditionalFormatting>
  <conditionalFormatting sqref="N31 P31:Q31">
    <cfRule type="cellIs" dxfId="3972" priority="670" operator="equal">
      <formula>0</formula>
    </cfRule>
  </conditionalFormatting>
  <conditionalFormatting sqref="N31 P31:Q31">
    <cfRule type="cellIs" dxfId="3971" priority="669" operator="equal">
      <formula>0</formula>
    </cfRule>
  </conditionalFormatting>
  <conditionalFormatting sqref="N31:P31">
    <cfRule type="cellIs" dxfId="3970" priority="662" operator="between">
      <formula>0</formula>
      <formula>0.0001</formula>
    </cfRule>
    <cfRule type="cellIs" dxfId="3969" priority="663" operator="greaterThanOrEqual">
      <formula>10</formula>
    </cfRule>
    <cfRule type="cellIs" dxfId="3968" priority="664" operator="between">
      <formula>1</formula>
      <formula>10</formula>
    </cfRule>
    <cfRule type="cellIs" dxfId="3967" priority="665" operator="between">
      <formula>0.1</formula>
      <formula>1</formula>
    </cfRule>
    <cfRule type="cellIs" dxfId="3966" priority="666" operator="between">
      <formula>0.001</formula>
      <formula>0.01</formula>
    </cfRule>
    <cfRule type="cellIs" dxfId="3965" priority="667" operator="between">
      <formula>0.0001</formula>
      <formula>0.001</formula>
    </cfRule>
    <cfRule type="cellIs" dxfId="3964" priority="668" operator="between">
      <formula>0.01</formula>
      <formula>0.1</formula>
    </cfRule>
  </conditionalFormatting>
  <conditionalFormatting sqref="N31:P31">
    <cfRule type="cellIs" dxfId="3963" priority="661" operator="equal">
      <formula>0</formula>
    </cfRule>
  </conditionalFormatting>
  <conditionalFormatting sqref="Q31">
    <cfRule type="cellIs" dxfId="3962" priority="654" operator="between">
      <formula>0</formula>
      <formula>0.0001</formula>
    </cfRule>
    <cfRule type="cellIs" dxfId="3961" priority="655" operator="greaterThanOrEqual">
      <formula>10</formula>
    </cfRule>
    <cfRule type="cellIs" dxfId="3960" priority="656" operator="between">
      <formula>1</formula>
      <formula>10</formula>
    </cfRule>
    <cfRule type="cellIs" dxfId="3959" priority="657" operator="between">
      <formula>0.1</formula>
      <formula>1</formula>
    </cfRule>
    <cfRule type="cellIs" dxfId="3958" priority="658" operator="between">
      <formula>0.001</formula>
      <formula>0.01</formula>
    </cfRule>
    <cfRule type="cellIs" dxfId="3957" priority="659" operator="between">
      <formula>0.0001</formula>
      <formula>0.001</formula>
    </cfRule>
    <cfRule type="cellIs" dxfId="3956" priority="660" operator="between">
      <formula>0.01</formula>
      <formula>0.1</formula>
    </cfRule>
  </conditionalFormatting>
  <conditionalFormatting sqref="Q31">
    <cfRule type="cellIs" dxfId="3955" priority="653" operator="equal">
      <formula>0</formula>
    </cfRule>
  </conditionalFormatting>
  <conditionalFormatting sqref="N31:P31">
    <cfRule type="cellIs" dxfId="3954" priority="646" operator="between">
      <formula>0</formula>
      <formula>0.0001</formula>
    </cfRule>
    <cfRule type="cellIs" dxfId="3953" priority="647" operator="greaterThanOrEqual">
      <formula>10</formula>
    </cfRule>
    <cfRule type="cellIs" dxfId="3952" priority="648" operator="between">
      <formula>1</formula>
      <formula>10</formula>
    </cfRule>
    <cfRule type="cellIs" dxfId="3951" priority="649" operator="between">
      <formula>0.1</formula>
      <formula>1</formula>
    </cfRule>
    <cfRule type="cellIs" dxfId="3950" priority="650" operator="between">
      <formula>0.001</formula>
      <formula>0.01</formula>
    </cfRule>
    <cfRule type="cellIs" dxfId="3949" priority="651" operator="between">
      <formula>0.0001</formula>
      <formula>0.001</formula>
    </cfRule>
    <cfRule type="cellIs" dxfId="3948" priority="652" operator="between">
      <formula>0.01</formula>
      <formula>0.1</formula>
    </cfRule>
  </conditionalFormatting>
  <conditionalFormatting sqref="N31:P31">
    <cfRule type="cellIs" dxfId="3947" priority="645" operator="equal">
      <formula>0</formula>
    </cfRule>
  </conditionalFormatting>
  <conditionalFormatting sqref="Q31">
    <cfRule type="cellIs" dxfId="3946" priority="638" operator="between">
      <formula>0</formula>
      <formula>0.0001</formula>
    </cfRule>
    <cfRule type="cellIs" dxfId="3945" priority="639" operator="greaterThanOrEqual">
      <formula>10</formula>
    </cfRule>
    <cfRule type="cellIs" dxfId="3944" priority="640" operator="between">
      <formula>1</formula>
      <formula>10</formula>
    </cfRule>
    <cfRule type="cellIs" dxfId="3943" priority="641" operator="between">
      <formula>0.1</formula>
      <formula>1</formula>
    </cfRule>
    <cfRule type="cellIs" dxfId="3942" priority="642" operator="between">
      <formula>0.001</formula>
      <formula>0.01</formula>
    </cfRule>
    <cfRule type="cellIs" dxfId="3941" priority="643" operator="between">
      <formula>0.0001</formula>
      <formula>0.001</formula>
    </cfRule>
    <cfRule type="cellIs" dxfId="3940" priority="644" operator="between">
      <formula>0.01</formula>
      <formula>0.1</formula>
    </cfRule>
  </conditionalFormatting>
  <conditionalFormatting sqref="Q31">
    <cfRule type="cellIs" dxfId="3939" priority="637" operator="equal">
      <formula>0</formula>
    </cfRule>
  </conditionalFormatting>
  <conditionalFormatting sqref="N31:P31">
    <cfRule type="cellIs" dxfId="3938" priority="630" operator="between">
      <formula>0</formula>
      <formula>0.0001</formula>
    </cfRule>
    <cfRule type="cellIs" dxfId="3937" priority="631" operator="greaterThanOrEqual">
      <formula>10</formula>
    </cfRule>
    <cfRule type="cellIs" dxfId="3936" priority="632" operator="between">
      <formula>1</formula>
      <formula>10</formula>
    </cfRule>
    <cfRule type="cellIs" dxfId="3935" priority="633" operator="between">
      <formula>0.1</formula>
      <formula>1</formula>
    </cfRule>
    <cfRule type="cellIs" dxfId="3934" priority="634" operator="between">
      <formula>0.001</formula>
      <formula>0.01</formula>
    </cfRule>
    <cfRule type="cellIs" dxfId="3933" priority="635" operator="between">
      <formula>0.0001</formula>
      <formula>0.001</formula>
    </cfRule>
    <cfRule type="cellIs" dxfId="3932" priority="636" operator="between">
      <formula>0.01</formula>
      <formula>0.1</formula>
    </cfRule>
  </conditionalFormatting>
  <conditionalFormatting sqref="N31:P31">
    <cfRule type="cellIs" dxfId="3931" priority="629" operator="equal">
      <formula>0</formula>
    </cfRule>
  </conditionalFormatting>
  <conditionalFormatting sqref="Q31">
    <cfRule type="cellIs" dxfId="3930" priority="622" operator="between">
      <formula>0</formula>
      <formula>0.0001</formula>
    </cfRule>
    <cfRule type="cellIs" dxfId="3929" priority="623" operator="greaterThanOrEqual">
      <formula>10</formula>
    </cfRule>
    <cfRule type="cellIs" dxfId="3928" priority="624" operator="between">
      <formula>1</formula>
      <formula>10</formula>
    </cfRule>
    <cfRule type="cellIs" dxfId="3927" priority="625" operator="between">
      <formula>0.1</formula>
      <formula>1</formula>
    </cfRule>
    <cfRule type="cellIs" dxfId="3926" priority="626" operator="between">
      <formula>0.001</formula>
      <formula>0.01</formula>
    </cfRule>
    <cfRule type="cellIs" dxfId="3925" priority="627" operator="between">
      <formula>0.0001</formula>
      <formula>0.001</formula>
    </cfRule>
    <cfRule type="cellIs" dxfId="3924" priority="628" operator="between">
      <formula>0.01</formula>
      <formula>0.1</formula>
    </cfRule>
  </conditionalFormatting>
  <conditionalFormatting sqref="Q31">
    <cfRule type="cellIs" dxfId="3923" priority="621" operator="equal">
      <formula>0</formula>
    </cfRule>
  </conditionalFormatting>
  <conditionalFormatting sqref="N31:P31">
    <cfRule type="cellIs" dxfId="3922" priority="614" operator="between">
      <formula>0</formula>
      <formula>0.0001</formula>
    </cfRule>
    <cfRule type="cellIs" dxfId="3921" priority="615" operator="greaterThanOrEqual">
      <formula>10</formula>
    </cfRule>
    <cfRule type="cellIs" dxfId="3920" priority="616" operator="between">
      <formula>1</formula>
      <formula>10</formula>
    </cfRule>
    <cfRule type="cellIs" dxfId="3919" priority="617" operator="between">
      <formula>0.1</formula>
      <formula>1</formula>
    </cfRule>
    <cfRule type="cellIs" dxfId="3918" priority="618" operator="between">
      <formula>0.001</formula>
      <formula>0.01</formula>
    </cfRule>
    <cfRule type="cellIs" dxfId="3917" priority="619" operator="between">
      <formula>0.0001</formula>
      <formula>0.001</formula>
    </cfRule>
    <cfRule type="cellIs" dxfId="3916" priority="620" operator="between">
      <formula>0.01</formula>
      <formula>0.1</formula>
    </cfRule>
  </conditionalFormatting>
  <conditionalFormatting sqref="N31:P31">
    <cfRule type="cellIs" dxfId="3915" priority="613" operator="equal">
      <formula>0</formula>
    </cfRule>
  </conditionalFormatting>
  <conditionalFormatting sqref="Q31">
    <cfRule type="cellIs" dxfId="3914" priority="606" operator="between">
      <formula>0</formula>
      <formula>0.0001</formula>
    </cfRule>
    <cfRule type="cellIs" dxfId="3913" priority="607" operator="greaterThanOrEqual">
      <formula>10</formula>
    </cfRule>
    <cfRule type="cellIs" dxfId="3912" priority="608" operator="between">
      <formula>1</formula>
      <formula>10</formula>
    </cfRule>
    <cfRule type="cellIs" dxfId="3911" priority="609" operator="between">
      <formula>0.1</formula>
      <formula>1</formula>
    </cfRule>
    <cfRule type="cellIs" dxfId="3910" priority="610" operator="between">
      <formula>0.001</formula>
      <formula>0.01</formula>
    </cfRule>
    <cfRule type="cellIs" dxfId="3909" priority="611" operator="between">
      <formula>0.0001</formula>
      <formula>0.001</formula>
    </cfRule>
    <cfRule type="cellIs" dxfId="3908" priority="612" operator="between">
      <formula>0.01</formula>
      <formula>0.1</formula>
    </cfRule>
  </conditionalFormatting>
  <conditionalFormatting sqref="Q31">
    <cfRule type="cellIs" dxfId="3907" priority="605" operator="equal">
      <formula>0</formula>
    </cfRule>
  </conditionalFormatting>
  <conditionalFormatting sqref="N31:P31">
    <cfRule type="cellIs" dxfId="3906" priority="598" operator="between">
      <formula>0</formula>
      <formula>0.0001</formula>
    </cfRule>
    <cfRule type="cellIs" dxfId="3905" priority="599" operator="greaterThanOrEqual">
      <formula>10</formula>
    </cfRule>
    <cfRule type="cellIs" dxfId="3904" priority="600" operator="between">
      <formula>1</formula>
      <formula>10</formula>
    </cfRule>
    <cfRule type="cellIs" dxfId="3903" priority="601" operator="between">
      <formula>0.1</formula>
      <formula>1</formula>
    </cfRule>
    <cfRule type="cellIs" dxfId="3902" priority="602" operator="between">
      <formula>0.001</formula>
      <formula>0.01</formula>
    </cfRule>
    <cfRule type="cellIs" dxfId="3901" priority="603" operator="between">
      <formula>0.0001</formula>
      <formula>0.001</formula>
    </cfRule>
    <cfRule type="cellIs" dxfId="3900" priority="604" operator="between">
      <formula>0.01</formula>
      <formula>0.1</formula>
    </cfRule>
  </conditionalFormatting>
  <conditionalFormatting sqref="N31:P31">
    <cfRule type="cellIs" dxfId="3899" priority="597" operator="equal">
      <formula>0</formula>
    </cfRule>
  </conditionalFormatting>
  <conditionalFormatting sqref="Q31">
    <cfRule type="cellIs" dxfId="3898" priority="590" operator="between">
      <formula>0</formula>
      <formula>0.0001</formula>
    </cfRule>
    <cfRule type="cellIs" dxfId="3897" priority="591" operator="greaterThanOrEqual">
      <formula>10</formula>
    </cfRule>
    <cfRule type="cellIs" dxfId="3896" priority="592" operator="between">
      <formula>1</formula>
      <formula>10</formula>
    </cfRule>
    <cfRule type="cellIs" dxfId="3895" priority="593" operator="between">
      <formula>0.1</formula>
      <formula>1</formula>
    </cfRule>
    <cfRule type="cellIs" dxfId="3894" priority="594" operator="between">
      <formula>0.001</formula>
      <formula>0.01</formula>
    </cfRule>
    <cfRule type="cellIs" dxfId="3893" priority="595" operator="between">
      <formula>0.0001</formula>
      <formula>0.001</formula>
    </cfRule>
    <cfRule type="cellIs" dxfId="3892" priority="596" operator="between">
      <formula>0.01</formula>
      <formula>0.1</formula>
    </cfRule>
  </conditionalFormatting>
  <conditionalFormatting sqref="Q31">
    <cfRule type="cellIs" dxfId="3891" priority="589" operator="equal">
      <formula>0</formula>
    </cfRule>
  </conditionalFormatting>
  <conditionalFormatting sqref="N42:O42">
    <cfRule type="cellIs" dxfId="3890" priority="582" operator="between">
      <formula>0</formula>
      <formula>0.0001</formula>
    </cfRule>
    <cfRule type="cellIs" dxfId="3889" priority="583" operator="greaterThanOrEqual">
      <formula>10</formula>
    </cfRule>
    <cfRule type="cellIs" dxfId="3888" priority="584" operator="between">
      <formula>1</formula>
      <formula>10</formula>
    </cfRule>
    <cfRule type="cellIs" dxfId="3887" priority="585" operator="between">
      <formula>0.1</formula>
      <formula>1</formula>
    </cfRule>
    <cfRule type="cellIs" dxfId="3886" priority="586" operator="between">
      <formula>0.001</formula>
      <formula>0.01</formula>
    </cfRule>
    <cfRule type="cellIs" dxfId="3885" priority="587" operator="between">
      <formula>0.0001</formula>
      <formula>0.001</formula>
    </cfRule>
    <cfRule type="cellIs" dxfId="3884" priority="588" operator="between">
      <formula>0.01</formula>
      <formula>0.1</formula>
    </cfRule>
  </conditionalFormatting>
  <conditionalFormatting sqref="N42:O42">
    <cfRule type="cellIs" dxfId="3883" priority="581" operator="equal">
      <formula>0</formula>
    </cfRule>
  </conditionalFormatting>
  <conditionalFormatting sqref="F31">
    <cfRule type="cellIs" dxfId="3882" priority="574" operator="between">
      <formula>0</formula>
      <formula>0.0001</formula>
    </cfRule>
    <cfRule type="cellIs" dxfId="3881" priority="575" operator="greaterThanOrEqual">
      <formula>10</formula>
    </cfRule>
    <cfRule type="cellIs" dxfId="3880" priority="576" operator="between">
      <formula>1</formula>
      <formula>10</formula>
    </cfRule>
    <cfRule type="cellIs" dxfId="3879" priority="577" operator="between">
      <formula>0.1</formula>
      <formula>1</formula>
    </cfRule>
    <cfRule type="cellIs" dxfId="3878" priority="578" operator="between">
      <formula>0.001</formula>
      <formula>0.01</formula>
    </cfRule>
    <cfRule type="cellIs" dxfId="3877" priority="579" operator="between">
      <formula>0.0001</formula>
      <formula>0.001</formula>
    </cfRule>
    <cfRule type="cellIs" dxfId="3876" priority="580" operator="between">
      <formula>0.01</formula>
      <formula>0.1</formula>
    </cfRule>
  </conditionalFormatting>
  <conditionalFormatting sqref="F31">
    <cfRule type="cellIs" dxfId="3875" priority="573" operator="equal">
      <formula>0</formula>
    </cfRule>
  </conditionalFormatting>
  <conditionalFormatting sqref="J31">
    <cfRule type="cellIs" dxfId="3874" priority="566" operator="between">
      <formula>0</formula>
      <formula>0.0001</formula>
    </cfRule>
    <cfRule type="cellIs" dxfId="3873" priority="567" operator="greaterThanOrEqual">
      <formula>10</formula>
    </cfRule>
    <cfRule type="cellIs" dxfId="3872" priority="568" operator="between">
      <formula>1</formula>
      <formula>10</formula>
    </cfRule>
    <cfRule type="cellIs" dxfId="3871" priority="569" operator="between">
      <formula>0.1</formula>
      <formula>1</formula>
    </cfRule>
    <cfRule type="cellIs" dxfId="3870" priority="570" operator="between">
      <formula>0.001</formula>
      <formula>0.01</formula>
    </cfRule>
    <cfRule type="cellIs" dxfId="3869" priority="571" operator="between">
      <formula>0.0001</formula>
      <formula>0.001</formula>
    </cfRule>
    <cfRule type="cellIs" dxfId="3868" priority="572" operator="between">
      <formula>0.01</formula>
      <formula>0.1</formula>
    </cfRule>
  </conditionalFormatting>
  <conditionalFormatting sqref="J31">
    <cfRule type="cellIs" dxfId="3867" priority="565" operator="equal">
      <formula>0</formula>
    </cfRule>
  </conditionalFormatting>
  <conditionalFormatting sqref="J31">
    <cfRule type="cellIs" dxfId="3866" priority="558" operator="between">
      <formula>0</formula>
      <formula>0.0001</formula>
    </cfRule>
    <cfRule type="cellIs" dxfId="3865" priority="559" operator="greaterThanOrEqual">
      <formula>10</formula>
    </cfRule>
    <cfRule type="cellIs" dxfId="3864" priority="560" operator="between">
      <formula>1</formula>
      <formula>10</formula>
    </cfRule>
    <cfRule type="cellIs" dxfId="3863" priority="561" operator="between">
      <formula>0.1</formula>
      <formula>1</formula>
    </cfRule>
    <cfRule type="cellIs" dxfId="3862" priority="562" operator="between">
      <formula>0.001</formula>
      <formula>0.01</formula>
    </cfRule>
    <cfRule type="cellIs" dxfId="3861" priority="563" operator="between">
      <formula>0.0001</formula>
      <formula>0.001</formula>
    </cfRule>
    <cfRule type="cellIs" dxfId="3860" priority="564" operator="between">
      <formula>0.01</formula>
      <formula>0.1</formula>
    </cfRule>
  </conditionalFormatting>
  <conditionalFormatting sqref="J31">
    <cfRule type="cellIs" dxfId="3859" priority="557" operator="equal">
      <formula>0</formula>
    </cfRule>
  </conditionalFormatting>
  <conditionalFormatting sqref="J31">
    <cfRule type="cellIs" dxfId="3858" priority="550" operator="between">
      <formula>0</formula>
      <formula>0.0001</formula>
    </cfRule>
    <cfRule type="cellIs" dxfId="3857" priority="551" operator="greaterThanOrEqual">
      <formula>10</formula>
    </cfRule>
    <cfRule type="cellIs" dxfId="3856" priority="552" operator="between">
      <formula>1</formula>
      <formula>10</formula>
    </cfRule>
    <cfRule type="cellIs" dxfId="3855" priority="553" operator="between">
      <formula>0.1</formula>
      <formula>1</formula>
    </cfRule>
    <cfRule type="cellIs" dxfId="3854" priority="554" operator="between">
      <formula>0.001</formula>
      <formula>0.01</formula>
    </cfRule>
    <cfRule type="cellIs" dxfId="3853" priority="555" operator="between">
      <formula>0.0001</formula>
      <formula>0.001</formula>
    </cfRule>
    <cfRule type="cellIs" dxfId="3852" priority="556" operator="between">
      <formula>0.01</formula>
      <formula>0.1</formula>
    </cfRule>
  </conditionalFormatting>
  <conditionalFormatting sqref="J31">
    <cfRule type="cellIs" dxfId="3851" priority="549" operator="equal">
      <formula>0</formula>
    </cfRule>
  </conditionalFormatting>
  <conditionalFormatting sqref="J31">
    <cfRule type="cellIs" dxfId="3850" priority="542" operator="between">
      <formula>0</formula>
      <formula>0.0001</formula>
    </cfRule>
    <cfRule type="cellIs" dxfId="3849" priority="543" operator="greaterThanOrEqual">
      <formula>10</formula>
    </cfRule>
    <cfRule type="cellIs" dxfId="3848" priority="544" operator="between">
      <formula>1</formula>
      <formula>10</formula>
    </cfRule>
    <cfRule type="cellIs" dxfId="3847" priority="545" operator="between">
      <formula>0.1</formula>
      <formula>1</formula>
    </cfRule>
    <cfRule type="cellIs" dxfId="3846" priority="546" operator="between">
      <formula>0.001</formula>
      <formula>0.01</formula>
    </cfRule>
    <cfRule type="cellIs" dxfId="3845" priority="547" operator="between">
      <formula>0.0001</formula>
      <formula>0.001</formula>
    </cfRule>
    <cfRule type="cellIs" dxfId="3844" priority="548" operator="between">
      <formula>0.01</formula>
      <formula>0.1</formula>
    </cfRule>
  </conditionalFormatting>
  <conditionalFormatting sqref="J31">
    <cfRule type="cellIs" dxfId="3843" priority="541" operator="equal">
      <formula>0</formula>
    </cfRule>
  </conditionalFormatting>
  <conditionalFormatting sqref="N31">
    <cfRule type="cellIs" dxfId="3842" priority="540" operator="equal">
      <formula>0</formula>
    </cfRule>
  </conditionalFormatting>
  <conditionalFormatting sqref="N31">
    <cfRule type="cellIs" dxfId="3841" priority="539" operator="equal">
      <formula>0</formula>
    </cfRule>
  </conditionalFormatting>
  <conditionalFormatting sqref="N31">
    <cfRule type="cellIs" dxfId="3840" priority="538" operator="equal">
      <formula>0</formula>
    </cfRule>
  </conditionalFormatting>
  <conditionalFormatting sqref="N31">
    <cfRule type="cellIs" dxfId="3839" priority="537" operator="equal">
      <formula>0</formula>
    </cfRule>
  </conditionalFormatting>
  <conditionalFormatting sqref="N31">
    <cfRule type="cellIs" dxfId="3838" priority="536" operator="equal">
      <formula>0</formula>
    </cfRule>
  </conditionalFormatting>
  <conditionalFormatting sqref="N31">
    <cfRule type="cellIs" dxfId="3837" priority="529" operator="between">
      <formula>0</formula>
      <formula>0.0001</formula>
    </cfRule>
    <cfRule type="cellIs" dxfId="3836" priority="530" operator="greaterThanOrEqual">
      <formula>10</formula>
    </cfRule>
    <cfRule type="cellIs" dxfId="3835" priority="531" operator="between">
      <formula>1</formula>
      <formula>10</formula>
    </cfRule>
    <cfRule type="cellIs" dxfId="3834" priority="532" operator="between">
      <formula>0.1</formula>
      <formula>1</formula>
    </cfRule>
    <cfRule type="cellIs" dxfId="3833" priority="533" operator="between">
      <formula>0.001</formula>
      <formula>0.01</formula>
    </cfRule>
    <cfRule type="cellIs" dxfId="3832" priority="534" operator="between">
      <formula>0.0001</formula>
      <formula>0.001</formula>
    </cfRule>
    <cfRule type="cellIs" dxfId="3831" priority="535" operator="between">
      <formula>0.01</formula>
      <formula>0.1</formula>
    </cfRule>
  </conditionalFormatting>
  <conditionalFormatting sqref="N31">
    <cfRule type="cellIs" dxfId="3830" priority="528" operator="equal">
      <formula>0</formula>
    </cfRule>
  </conditionalFormatting>
  <conditionalFormatting sqref="N31">
    <cfRule type="cellIs" dxfId="3829" priority="521" operator="between">
      <formula>0</formula>
      <formula>0.0001</formula>
    </cfRule>
    <cfRule type="cellIs" dxfId="3828" priority="522" operator="greaterThanOrEqual">
      <formula>10</formula>
    </cfRule>
    <cfRule type="cellIs" dxfId="3827" priority="523" operator="between">
      <formula>1</formula>
      <formula>10</formula>
    </cfRule>
    <cfRule type="cellIs" dxfId="3826" priority="524" operator="between">
      <formula>0.1</formula>
      <formula>1</formula>
    </cfRule>
    <cfRule type="cellIs" dxfId="3825" priority="525" operator="between">
      <formula>0.001</formula>
      <formula>0.01</formula>
    </cfRule>
    <cfRule type="cellIs" dxfId="3824" priority="526" operator="between">
      <formula>0.0001</formula>
      <formula>0.001</formula>
    </cfRule>
    <cfRule type="cellIs" dxfId="3823" priority="527" operator="between">
      <formula>0.01</formula>
      <formula>0.1</formula>
    </cfRule>
  </conditionalFormatting>
  <conditionalFormatting sqref="N31">
    <cfRule type="cellIs" dxfId="3822" priority="520" operator="equal">
      <formula>0</formula>
    </cfRule>
  </conditionalFormatting>
  <conditionalFormatting sqref="N31">
    <cfRule type="cellIs" dxfId="3821" priority="513" operator="between">
      <formula>0</formula>
      <formula>0.0001</formula>
    </cfRule>
    <cfRule type="cellIs" dxfId="3820" priority="514" operator="greaterThanOrEqual">
      <formula>10</formula>
    </cfRule>
    <cfRule type="cellIs" dxfId="3819" priority="515" operator="between">
      <formula>1</formula>
      <formula>10</formula>
    </cfRule>
    <cfRule type="cellIs" dxfId="3818" priority="516" operator="between">
      <formula>0.1</formula>
      <formula>1</formula>
    </cfRule>
    <cfRule type="cellIs" dxfId="3817" priority="517" operator="between">
      <formula>0.001</formula>
      <formula>0.01</formula>
    </cfRule>
    <cfRule type="cellIs" dxfId="3816" priority="518" operator="between">
      <formula>0.0001</formula>
      <formula>0.001</formula>
    </cfRule>
    <cfRule type="cellIs" dxfId="3815" priority="519" operator="between">
      <formula>0.01</formula>
      <formula>0.1</formula>
    </cfRule>
  </conditionalFormatting>
  <conditionalFormatting sqref="N31">
    <cfRule type="cellIs" dxfId="3814" priority="512" operator="equal">
      <formula>0</formula>
    </cfRule>
  </conditionalFormatting>
  <conditionalFormatting sqref="N31">
    <cfRule type="cellIs" dxfId="3813" priority="505" operator="between">
      <formula>0</formula>
      <formula>0.0001</formula>
    </cfRule>
    <cfRule type="cellIs" dxfId="3812" priority="506" operator="greaterThanOrEqual">
      <formula>10</formula>
    </cfRule>
    <cfRule type="cellIs" dxfId="3811" priority="507" operator="between">
      <formula>1</formula>
      <formula>10</formula>
    </cfRule>
    <cfRule type="cellIs" dxfId="3810" priority="508" operator="between">
      <formula>0.1</formula>
      <formula>1</formula>
    </cfRule>
    <cfRule type="cellIs" dxfId="3809" priority="509" operator="between">
      <formula>0.001</formula>
      <formula>0.01</formula>
    </cfRule>
    <cfRule type="cellIs" dxfId="3808" priority="510" operator="between">
      <formula>0.0001</formula>
      <formula>0.001</formula>
    </cfRule>
    <cfRule type="cellIs" dxfId="3807" priority="511" operator="between">
      <formula>0.01</formula>
      <formula>0.1</formula>
    </cfRule>
  </conditionalFormatting>
  <conditionalFormatting sqref="N31">
    <cfRule type="cellIs" dxfId="3806" priority="504" operator="equal">
      <formula>0</formula>
    </cfRule>
  </conditionalFormatting>
  <conditionalFormatting sqref="N31">
    <cfRule type="cellIs" dxfId="3805" priority="497" operator="between">
      <formula>0</formula>
      <formula>0.0001</formula>
    </cfRule>
    <cfRule type="cellIs" dxfId="3804" priority="498" operator="greaterThanOrEqual">
      <formula>10</formula>
    </cfRule>
    <cfRule type="cellIs" dxfId="3803" priority="499" operator="between">
      <formula>1</formula>
      <formula>10</formula>
    </cfRule>
    <cfRule type="cellIs" dxfId="3802" priority="500" operator="between">
      <formula>0.1</formula>
      <formula>1</formula>
    </cfRule>
    <cfRule type="cellIs" dxfId="3801" priority="501" operator="between">
      <formula>0.001</formula>
      <formula>0.01</formula>
    </cfRule>
    <cfRule type="cellIs" dxfId="3800" priority="502" operator="between">
      <formula>0.0001</formula>
      <formula>0.001</formula>
    </cfRule>
    <cfRule type="cellIs" dxfId="3799" priority="503" operator="between">
      <formula>0.01</formula>
      <formula>0.1</formula>
    </cfRule>
  </conditionalFormatting>
  <conditionalFormatting sqref="N31">
    <cfRule type="cellIs" dxfId="3798" priority="496" operator="equal">
      <formula>0</formula>
    </cfRule>
  </conditionalFormatting>
  <conditionalFormatting sqref="N31">
    <cfRule type="cellIs" dxfId="3797" priority="489" operator="between">
      <formula>0</formula>
      <formula>0.0001</formula>
    </cfRule>
    <cfRule type="cellIs" dxfId="3796" priority="490" operator="greaterThanOrEqual">
      <formula>10</formula>
    </cfRule>
    <cfRule type="cellIs" dxfId="3795" priority="491" operator="between">
      <formula>1</formula>
      <formula>10</formula>
    </cfRule>
    <cfRule type="cellIs" dxfId="3794" priority="492" operator="between">
      <formula>0.1</formula>
      <formula>1</formula>
    </cfRule>
    <cfRule type="cellIs" dxfId="3793" priority="493" operator="between">
      <formula>0.001</formula>
      <formula>0.01</formula>
    </cfRule>
    <cfRule type="cellIs" dxfId="3792" priority="494" operator="between">
      <formula>0.0001</formula>
      <formula>0.001</formula>
    </cfRule>
    <cfRule type="cellIs" dxfId="3791" priority="495" operator="between">
      <formula>0.01</formula>
      <formula>0.1</formula>
    </cfRule>
  </conditionalFormatting>
  <conditionalFormatting sqref="N31">
    <cfRule type="cellIs" dxfId="3790" priority="488" operator="equal">
      <formula>0</formula>
    </cfRule>
  </conditionalFormatting>
  <conditionalFormatting sqref="N31">
    <cfRule type="cellIs" dxfId="3789" priority="481" operator="between">
      <formula>0</formula>
      <formula>0.0001</formula>
    </cfRule>
    <cfRule type="cellIs" dxfId="3788" priority="482" operator="greaterThanOrEqual">
      <formula>10</formula>
    </cfRule>
    <cfRule type="cellIs" dxfId="3787" priority="483" operator="between">
      <formula>1</formula>
      <formula>10</formula>
    </cfRule>
    <cfRule type="cellIs" dxfId="3786" priority="484" operator="between">
      <formula>0.1</formula>
      <formula>1</formula>
    </cfRule>
    <cfRule type="cellIs" dxfId="3785" priority="485" operator="between">
      <formula>0.001</formula>
      <formula>0.01</formula>
    </cfRule>
    <cfRule type="cellIs" dxfId="3784" priority="486" operator="between">
      <formula>0.0001</formula>
      <formula>0.001</formula>
    </cfRule>
    <cfRule type="cellIs" dxfId="3783" priority="487" operator="between">
      <formula>0.01</formula>
      <formula>0.1</formula>
    </cfRule>
  </conditionalFormatting>
  <conditionalFormatting sqref="N31">
    <cfRule type="cellIs" dxfId="3782" priority="480" operator="equal">
      <formula>0</formula>
    </cfRule>
  </conditionalFormatting>
  <conditionalFormatting sqref="N31">
    <cfRule type="cellIs" dxfId="3781" priority="473" operator="between">
      <formula>0</formula>
      <formula>0.0001</formula>
    </cfRule>
    <cfRule type="cellIs" dxfId="3780" priority="474" operator="greaterThanOrEqual">
      <formula>10</formula>
    </cfRule>
    <cfRule type="cellIs" dxfId="3779" priority="475" operator="between">
      <formula>1</formula>
      <formula>10</formula>
    </cfRule>
    <cfRule type="cellIs" dxfId="3778" priority="476" operator="between">
      <formula>0.1</formula>
      <formula>1</formula>
    </cfRule>
    <cfRule type="cellIs" dxfId="3777" priority="477" operator="between">
      <formula>0.001</formula>
      <formula>0.01</formula>
    </cfRule>
    <cfRule type="cellIs" dxfId="3776" priority="478" operator="between">
      <formula>0.0001</formula>
      <formula>0.001</formula>
    </cfRule>
    <cfRule type="cellIs" dxfId="3775" priority="479" operator="between">
      <formula>0.01</formula>
      <formula>0.1</formula>
    </cfRule>
  </conditionalFormatting>
  <conditionalFormatting sqref="N31">
    <cfRule type="cellIs" dxfId="3774" priority="472" operator="equal">
      <formula>0</formula>
    </cfRule>
  </conditionalFormatting>
  <conditionalFormatting sqref="N31">
    <cfRule type="cellIs" dxfId="3773" priority="465" operator="between">
      <formula>0</formula>
      <formula>0.0001</formula>
    </cfRule>
    <cfRule type="cellIs" dxfId="3772" priority="466" operator="greaterThanOrEqual">
      <formula>10</formula>
    </cfRule>
    <cfRule type="cellIs" dxfId="3771" priority="467" operator="between">
      <formula>1</formula>
      <formula>10</formula>
    </cfRule>
    <cfRule type="cellIs" dxfId="3770" priority="468" operator="between">
      <formula>0.1</formula>
      <formula>1</formula>
    </cfRule>
    <cfRule type="cellIs" dxfId="3769" priority="469" operator="between">
      <formula>0.001</formula>
      <formula>0.01</formula>
    </cfRule>
    <cfRule type="cellIs" dxfId="3768" priority="470" operator="between">
      <formula>0.0001</formula>
      <formula>0.001</formula>
    </cfRule>
    <cfRule type="cellIs" dxfId="3767" priority="471" operator="between">
      <formula>0.01</formula>
      <formula>0.1</formula>
    </cfRule>
  </conditionalFormatting>
  <conditionalFormatting sqref="N31">
    <cfRule type="cellIs" dxfId="3766" priority="464" operator="equal">
      <formula>0</formula>
    </cfRule>
  </conditionalFormatting>
  <conditionalFormatting sqref="J19 N19">
    <cfRule type="cellIs" dxfId="3765" priority="402" operator="greaterThanOrEqual">
      <formula>10</formula>
    </cfRule>
    <cfRule type="cellIs" dxfId="3764" priority="403" operator="between">
      <formula>1</formula>
      <formula>10</formula>
    </cfRule>
    <cfRule type="cellIs" dxfId="3763" priority="404" operator="between">
      <formula>0.1</formula>
      <formula>1</formula>
    </cfRule>
    <cfRule type="cellIs" dxfId="3762" priority="405" operator="between">
      <formula>0.001</formula>
      <formula>0.01</formula>
    </cfRule>
    <cfRule type="cellIs" dxfId="3761" priority="406" operator="between">
      <formula>0</formula>
      <formula>0.001</formula>
    </cfRule>
    <cfRule type="cellIs" dxfId="3760" priority="407" operator="between">
      <formula>0.01</formula>
      <formula>0.1</formula>
    </cfRule>
  </conditionalFormatting>
  <conditionalFormatting sqref="F19">
    <cfRule type="cellIs" dxfId="3759" priority="396" operator="greaterThanOrEqual">
      <formula>10</formula>
    </cfRule>
    <cfRule type="cellIs" dxfId="3758" priority="397" operator="between">
      <formula>1</formula>
      <formula>10</formula>
    </cfRule>
    <cfRule type="cellIs" dxfId="3757" priority="398" operator="between">
      <formula>0.1</formula>
      <formula>1</formula>
    </cfRule>
    <cfRule type="cellIs" dxfId="3756" priority="399" operator="between">
      <formula>0.001</formula>
      <formula>0.01</formula>
    </cfRule>
    <cfRule type="cellIs" dxfId="3755" priority="400" operator="between">
      <formula>0</formula>
      <formula>0.001</formula>
    </cfRule>
    <cfRule type="cellIs" dxfId="3754" priority="401" operator="between">
      <formula>0.01</formula>
      <formula>0.1</formula>
    </cfRule>
  </conditionalFormatting>
  <conditionalFormatting sqref="C48:E48 G48:I48 K48:M48 O48:Q48">
    <cfRule type="cellIs" dxfId="3753" priority="390" operator="greaterThanOrEqual">
      <formula>10</formula>
    </cfRule>
    <cfRule type="cellIs" dxfId="3752" priority="391" operator="between">
      <formula>1</formula>
      <formula>10</formula>
    </cfRule>
    <cfRule type="cellIs" dxfId="3751" priority="392" operator="between">
      <formula>0.1</formula>
      <formula>1</formula>
    </cfRule>
    <cfRule type="cellIs" dxfId="3750" priority="393" operator="between">
      <formula>0.001</formula>
      <formula>0.01</formula>
    </cfRule>
    <cfRule type="cellIs" dxfId="3749" priority="394" operator="between">
      <formula>0</formula>
      <formula>0.001</formula>
    </cfRule>
    <cfRule type="cellIs" dxfId="3748" priority="395" operator="between">
      <formula>0.01</formula>
      <formula>0.1</formula>
    </cfRule>
  </conditionalFormatting>
  <conditionalFormatting sqref="B48:Q48">
    <cfRule type="cellIs" dxfId="3747" priority="389" operator="equal">
      <formula>0</formula>
    </cfRule>
  </conditionalFormatting>
  <conditionalFormatting sqref="C48">
    <cfRule type="cellIs" dxfId="3746" priority="388" operator="equal">
      <formula>0</formula>
    </cfRule>
  </conditionalFormatting>
  <conditionalFormatting sqref="C48">
    <cfRule type="cellIs" dxfId="3745" priority="387" operator="equal">
      <formula>0</formula>
    </cfRule>
  </conditionalFormatting>
  <conditionalFormatting sqref="C48">
    <cfRule type="cellIs" dxfId="3744" priority="386" operator="equal">
      <formula>0</formula>
    </cfRule>
  </conditionalFormatting>
  <conditionalFormatting sqref="C48">
    <cfRule type="cellIs" dxfId="3743" priority="385" operator="equal">
      <formula>0</formula>
    </cfRule>
  </conditionalFormatting>
  <conditionalFormatting sqref="C48">
    <cfRule type="cellIs" dxfId="3742" priority="384" operator="equal">
      <formula>0</formula>
    </cfRule>
  </conditionalFormatting>
  <conditionalFormatting sqref="B48:Q48">
    <cfRule type="cellIs" dxfId="3741" priority="377" operator="between">
      <formula>0</formula>
      <formula>0.0001</formula>
    </cfRule>
    <cfRule type="cellIs" dxfId="3740" priority="378" operator="greaterThanOrEqual">
      <formula>10</formula>
    </cfRule>
    <cfRule type="cellIs" dxfId="3739" priority="379" operator="between">
      <formula>1</formula>
      <formula>10</formula>
    </cfRule>
    <cfRule type="cellIs" dxfId="3738" priority="380" operator="between">
      <formula>0.1</formula>
      <formula>1</formula>
    </cfRule>
    <cfRule type="cellIs" dxfId="3737" priority="381" operator="between">
      <formula>0.001</formula>
      <formula>0.01</formula>
    </cfRule>
    <cfRule type="cellIs" dxfId="3736" priority="382" operator="between">
      <formula>0.0001</formula>
      <formula>0.001</formula>
    </cfRule>
    <cfRule type="cellIs" dxfId="3735" priority="383" operator="between">
      <formula>0.01</formula>
      <formula>0.1</formula>
    </cfRule>
  </conditionalFormatting>
  <conditionalFormatting sqref="B48:Q48">
    <cfRule type="cellIs" dxfId="3734" priority="376" operator="equal">
      <formula>0</formula>
    </cfRule>
  </conditionalFormatting>
  <conditionalFormatting sqref="G48">
    <cfRule type="cellIs" dxfId="3733" priority="375" operator="equal">
      <formula>0</formula>
    </cfRule>
  </conditionalFormatting>
  <conditionalFormatting sqref="G48">
    <cfRule type="cellIs" dxfId="3732" priority="374" operator="equal">
      <formula>0</formula>
    </cfRule>
  </conditionalFormatting>
  <conditionalFormatting sqref="G48">
    <cfRule type="cellIs" dxfId="3731" priority="373" operator="equal">
      <formula>0</formula>
    </cfRule>
  </conditionalFormatting>
  <conditionalFormatting sqref="G48">
    <cfRule type="cellIs" dxfId="3730" priority="372" operator="equal">
      <formula>0</formula>
    </cfRule>
  </conditionalFormatting>
  <conditionalFormatting sqref="G48">
    <cfRule type="cellIs" dxfId="3729" priority="371" operator="equal">
      <formula>0</formula>
    </cfRule>
  </conditionalFormatting>
  <conditionalFormatting sqref="F48">
    <cfRule type="cellIs" dxfId="3728" priority="364" operator="between">
      <formula>0</formula>
      <formula>0.0001</formula>
    </cfRule>
    <cfRule type="cellIs" dxfId="3727" priority="365" operator="greaterThanOrEqual">
      <formula>10</formula>
    </cfRule>
    <cfRule type="cellIs" dxfId="3726" priority="366" operator="between">
      <formula>1</formula>
      <formula>10</formula>
    </cfRule>
    <cfRule type="cellIs" dxfId="3725" priority="367" operator="between">
      <formula>0.1</formula>
      <formula>1</formula>
    </cfRule>
    <cfRule type="cellIs" dxfId="3724" priority="368" operator="between">
      <formula>0.001</formula>
      <formula>0.01</formula>
    </cfRule>
    <cfRule type="cellIs" dxfId="3723" priority="369" operator="between">
      <formula>0.0001</formula>
      <formula>0.001</formula>
    </cfRule>
    <cfRule type="cellIs" dxfId="3722" priority="370" operator="between">
      <formula>0.01</formula>
      <formula>0.1</formula>
    </cfRule>
  </conditionalFormatting>
  <conditionalFormatting sqref="F48">
    <cfRule type="cellIs" dxfId="3721" priority="363" operator="equal">
      <formula>0</formula>
    </cfRule>
  </conditionalFormatting>
  <conditionalFormatting sqref="K48">
    <cfRule type="cellIs" dxfId="3720" priority="362" operator="equal">
      <formula>0</formula>
    </cfRule>
  </conditionalFormatting>
  <conditionalFormatting sqref="K48">
    <cfRule type="cellIs" dxfId="3719" priority="361" operator="equal">
      <formula>0</formula>
    </cfRule>
  </conditionalFormatting>
  <conditionalFormatting sqref="K48">
    <cfRule type="cellIs" dxfId="3718" priority="360" operator="equal">
      <formula>0</formula>
    </cfRule>
  </conditionalFormatting>
  <conditionalFormatting sqref="K48">
    <cfRule type="cellIs" dxfId="3717" priority="359" operator="equal">
      <formula>0</formula>
    </cfRule>
  </conditionalFormatting>
  <conditionalFormatting sqref="K48">
    <cfRule type="cellIs" dxfId="3716" priority="358" operator="equal">
      <formula>0</formula>
    </cfRule>
  </conditionalFormatting>
  <conditionalFormatting sqref="J48">
    <cfRule type="cellIs" dxfId="3715" priority="351" operator="between">
      <formula>0</formula>
      <formula>0.0001</formula>
    </cfRule>
    <cfRule type="cellIs" dxfId="3714" priority="352" operator="greaterThanOrEqual">
      <formula>10</formula>
    </cfRule>
    <cfRule type="cellIs" dxfId="3713" priority="353" operator="between">
      <formula>1</formula>
      <formula>10</formula>
    </cfRule>
    <cfRule type="cellIs" dxfId="3712" priority="354" operator="between">
      <formula>0.1</formula>
      <formula>1</formula>
    </cfRule>
    <cfRule type="cellIs" dxfId="3711" priority="355" operator="between">
      <formula>0.001</formula>
      <formula>0.01</formula>
    </cfRule>
    <cfRule type="cellIs" dxfId="3710" priority="356" operator="between">
      <formula>0.0001</formula>
      <formula>0.001</formula>
    </cfRule>
    <cfRule type="cellIs" dxfId="3709" priority="357" operator="between">
      <formula>0.01</formula>
      <formula>0.1</formula>
    </cfRule>
  </conditionalFormatting>
  <conditionalFormatting sqref="J48">
    <cfRule type="cellIs" dxfId="3708" priority="350" operator="equal">
      <formula>0</formula>
    </cfRule>
  </conditionalFormatting>
  <conditionalFormatting sqref="O48">
    <cfRule type="cellIs" dxfId="3707" priority="349" operator="equal">
      <formula>0</formula>
    </cfRule>
  </conditionalFormatting>
  <conditionalFormatting sqref="O48">
    <cfRule type="cellIs" dxfId="3706" priority="348" operator="equal">
      <formula>0</formula>
    </cfRule>
  </conditionalFormatting>
  <conditionalFormatting sqref="O48">
    <cfRule type="cellIs" dxfId="3705" priority="347" operator="equal">
      <formula>0</formula>
    </cfRule>
  </conditionalFormatting>
  <conditionalFormatting sqref="O48">
    <cfRule type="cellIs" dxfId="3704" priority="346" operator="equal">
      <formula>0</formula>
    </cfRule>
  </conditionalFormatting>
  <conditionalFormatting sqref="O48">
    <cfRule type="cellIs" dxfId="3703" priority="345" operator="equal">
      <formula>0</formula>
    </cfRule>
  </conditionalFormatting>
  <conditionalFormatting sqref="N48">
    <cfRule type="cellIs" dxfId="3702" priority="338" operator="between">
      <formula>0</formula>
      <formula>0.0001</formula>
    </cfRule>
    <cfRule type="cellIs" dxfId="3701" priority="339" operator="greaterThanOrEqual">
      <formula>10</formula>
    </cfRule>
    <cfRule type="cellIs" dxfId="3700" priority="340" operator="between">
      <formula>1</formula>
      <formula>10</formula>
    </cfRule>
    <cfRule type="cellIs" dxfId="3699" priority="341" operator="between">
      <formula>0.1</formula>
      <formula>1</formula>
    </cfRule>
    <cfRule type="cellIs" dxfId="3698" priority="342" operator="between">
      <formula>0.001</formula>
      <formula>0.01</formula>
    </cfRule>
    <cfRule type="cellIs" dxfId="3697" priority="343" operator="between">
      <formula>0.0001</formula>
      <formula>0.001</formula>
    </cfRule>
    <cfRule type="cellIs" dxfId="3696" priority="344" operator="between">
      <formula>0.01</formula>
      <formula>0.1</formula>
    </cfRule>
  </conditionalFormatting>
  <conditionalFormatting sqref="N48">
    <cfRule type="cellIs" dxfId="3695" priority="337" operator="equal">
      <formula>0</formula>
    </cfRule>
  </conditionalFormatting>
  <conditionalFormatting sqref="G48">
    <cfRule type="cellIs" dxfId="3694" priority="336" operator="equal">
      <formula>0</formula>
    </cfRule>
  </conditionalFormatting>
  <conditionalFormatting sqref="G48">
    <cfRule type="cellIs" dxfId="3693" priority="335" operator="equal">
      <formula>0</formula>
    </cfRule>
  </conditionalFormatting>
  <conditionalFormatting sqref="G48">
    <cfRule type="cellIs" dxfId="3692" priority="334" operator="equal">
      <formula>0</formula>
    </cfRule>
  </conditionalFormatting>
  <conditionalFormatting sqref="G48">
    <cfRule type="cellIs" dxfId="3691" priority="333" operator="equal">
      <formula>0</formula>
    </cfRule>
  </conditionalFormatting>
  <conditionalFormatting sqref="G48">
    <cfRule type="cellIs" dxfId="3690" priority="332" operator="equal">
      <formula>0</formula>
    </cfRule>
  </conditionalFormatting>
  <conditionalFormatting sqref="K48">
    <cfRule type="cellIs" dxfId="3689" priority="331" operator="equal">
      <formula>0</formula>
    </cfRule>
  </conditionalFormatting>
  <conditionalFormatting sqref="K48">
    <cfRule type="cellIs" dxfId="3688" priority="330" operator="equal">
      <formula>0</formula>
    </cfRule>
  </conditionalFormatting>
  <conditionalFormatting sqref="K48">
    <cfRule type="cellIs" dxfId="3687" priority="329" operator="equal">
      <formula>0</formula>
    </cfRule>
  </conditionalFormatting>
  <conditionalFormatting sqref="K48">
    <cfRule type="cellIs" dxfId="3686" priority="328" operator="equal">
      <formula>0</formula>
    </cfRule>
  </conditionalFormatting>
  <conditionalFormatting sqref="K48">
    <cfRule type="cellIs" dxfId="3685" priority="327" operator="equal">
      <formula>0</formula>
    </cfRule>
  </conditionalFormatting>
  <conditionalFormatting sqref="J48">
    <cfRule type="cellIs" dxfId="3684" priority="320" operator="between">
      <formula>0</formula>
      <formula>0.0001</formula>
    </cfRule>
    <cfRule type="cellIs" dxfId="3683" priority="321" operator="greaterThanOrEqual">
      <formula>10</formula>
    </cfRule>
    <cfRule type="cellIs" dxfId="3682" priority="322" operator="between">
      <formula>1</formula>
      <formula>10</formula>
    </cfRule>
    <cfRule type="cellIs" dxfId="3681" priority="323" operator="between">
      <formula>0.1</formula>
      <formula>1</formula>
    </cfRule>
    <cfRule type="cellIs" dxfId="3680" priority="324" operator="between">
      <formula>0.001</formula>
      <formula>0.01</formula>
    </cfRule>
    <cfRule type="cellIs" dxfId="3679" priority="325" operator="between">
      <formula>0.0001</formula>
      <formula>0.001</formula>
    </cfRule>
    <cfRule type="cellIs" dxfId="3678" priority="326" operator="between">
      <formula>0.01</formula>
      <formula>0.1</formula>
    </cfRule>
  </conditionalFormatting>
  <conditionalFormatting sqref="J48">
    <cfRule type="cellIs" dxfId="3677" priority="319" operator="equal">
      <formula>0</formula>
    </cfRule>
  </conditionalFormatting>
  <conditionalFormatting sqref="K48">
    <cfRule type="cellIs" dxfId="3676" priority="318" operator="equal">
      <formula>0</formula>
    </cfRule>
  </conditionalFormatting>
  <conditionalFormatting sqref="K48">
    <cfRule type="cellIs" dxfId="3675" priority="317" operator="equal">
      <formula>0</formula>
    </cfRule>
  </conditionalFormatting>
  <conditionalFormatting sqref="K48">
    <cfRule type="cellIs" dxfId="3674" priority="316" operator="equal">
      <formula>0</formula>
    </cfRule>
  </conditionalFormatting>
  <conditionalFormatting sqref="K48">
    <cfRule type="cellIs" dxfId="3673" priority="315" operator="equal">
      <formula>0</formula>
    </cfRule>
  </conditionalFormatting>
  <conditionalFormatting sqref="K48">
    <cfRule type="cellIs" dxfId="3672" priority="314" operator="equal">
      <formula>0</formula>
    </cfRule>
  </conditionalFormatting>
  <conditionalFormatting sqref="O48">
    <cfRule type="cellIs" dxfId="3671" priority="313" operator="equal">
      <formula>0</formula>
    </cfRule>
  </conditionalFormatting>
  <conditionalFormatting sqref="O48">
    <cfRule type="cellIs" dxfId="3670" priority="312" operator="equal">
      <formula>0</formula>
    </cfRule>
  </conditionalFormatting>
  <conditionalFormatting sqref="O48">
    <cfRule type="cellIs" dxfId="3669" priority="311" operator="equal">
      <formula>0</formula>
    </cfRule>
  </conditionalFormatting>
  <conditionalFormatting sqref="O48">
    <cfRule type="cellIs" dxfId="3668" priority="310" operator="equal">
      <formula>0</formula>
    </cfRule>
  </conditionalFormatting>
  <conditionalFormatting sqref="O48">
    <cfRule type="cellIs" dxfId="3667" priority="309" operator="equal">
      <formula>0</formula>
    </cfRule>
  </conditionalFormatting>
  <conditionalFormatting sqref="N48">
    <cfRule type="cellIs" dxfId="3666" priority="302" operator="between">
      <formula>0</formula>
      <formula>0.0001</formula>
    </cfRule>
    <cfRule type="cellIs" dxfId="3665" priority="303" operator="greaterThanOrEqual">
      <formula>10</formula>
    </cfRule>
    <cfRule type="cellIs" dxfId="3664" priority="304" operator="between">
      <formula>1</formula>
      <formula>10</formula>
    </cfRule>
    <cfRule type="cellIs" dxfId="3663" priority="305" operator="between">
      <formula>0.1</formula>
      <formula>1</formula>
    </cfRule>
    <cfRule type="cellIs" dxfId="3662" priority="306" operator="between">
      <formula>0.001</formula>
      <formula>0.01</formula>
    </cfRule>
    <cfRule type="cellIs" dxfId="3661" priority="307" operator="between">
      <formula>0.0001</formula>
      <formula>0.001</formula>
    </cfRule>
    <cfRule type="cellIs" dxfId="3660" priority="308" operator="between">
      <formula>0.01</formula>
      <formula>0.1</formula>
    </cfRule>
  </conditionalFormatting>
  <conditionalFormatting sqref="N48">
    <cfRule type="cellIs" dxfId="3659" priority="301" operator="equal">
      <formula>0</formula>
    </cfRule>
  </conditionalFormatting>
  <conditionalFormatting sqref="O48">
    <cfRule type="cellIs" dxfId="3658" priority="300" operator="equal">
      <formula>0</formula>
    </cfRule>
  </conditionalFormatting>
  <conditionalFormatting sqref="O48">
    <cfRule type="cellIs" dxfId="3657" priority="299" operator="equal">
      <formula>0</formula>
    </cfRule>
  </conditionalFormatting>
  <conditionalFormatting sqref="O48">
    <cfRule type="cellIs" dxfId="3656" priority="298" operator="equal">
      <formula>0</formula>
    </cfRule>
  </conditionalFormatting>
  <conditionalFormatting sqref="O48">
    <cfRule type="cellIs" dxfId="3655" priority="297" operator="equal">
      <formula>0</formula>
    </cfRule>
  </conditionalFormatting>
  <conditionalFormatting sqref="O48">
    <cfRule type="cellIs" dxfId="3654" priority="296" operator="equal">
      <formula>0</formula>
    </cfRule>
  </conditionalFormatting>
  <conditionalFormatting sqref="N48">
    <cfRule type="cellIs" dxfId="3653" priority="289" operator="between">
      <formula>0</formula>
      <formula>0.0001</formula>
    </cfRule>
    <cfRule type="cellIs" dxfId="3652" priority="290" operator="greaterThanOrEqual">
      <formula>10</formula>
    </cfRule>
    <cfRule type="cellIs" dxfId="3651" priority="291" operator="between">
      <formula>1</formula>
      <formula>10</formula>
    </cfRule>
    <cfRule type="cellIs" dxfId="3650" priority="292" operator="between">
      <formula>0.1</formula>
      <formula>1</formula>
    </cfRule>
    <cfRule type="cellIs" dxfId="3649" priority="293" operator="between">
      <formula>0.001</formula>
      <formula>0.01</formula>
    </cfRule>
    <cfRule type="cellIs" dxfId="3648" priority="294" operator="between">
      <formula>0.0001</formula>
      <formula>0.001</formula>
    </cfRule>
    <cfRule type="cellIs" dxfId="3647" priority="295" operator="between">
      <formula>0.01</formula>
      <formula>0.1</formula>
    </cfRule>
  </conditionalFormatting>
  <conditionalFormatting sqref="N48">
    <cfRule type="cellIs" dxfId="3646" priority="288" operator="equal">
      <formula>0</formula>
    </cfRule>
  </conditionalFormatting>
  <conditionalFormatting sqref="O48">
    <cfRule type="cellIs" dxfId="3645" priority="287" operator="equal">
      <formula>0</formula>
    </cfRule>
  </conditionalFormatting>
  <conditionalFormatting sqref="O48">
    <cfRule type="cellIs" dxfId="3644" priority="286" operator="equal">
      <formula>0</formula>
    </cfRule>
  </conditionalFormatting>
  <conditionalFormatting sqref="O48">
    <cfRule type="cellIs" dxfId="3643" priority="285" operator="equal">
      <formula>0</formula>
    </cfRule>
  </conditionalFormatting>
  <conditionalFormatting sqref="O48">
    <cfRule type="cellIs" dxfId="3642" priority="284" operator="equal">
      <formula>0</formula>
    </cfRule>
  </conditionalFormatting>
  <conditionalFormatting sqref="O48">
    <cfRule type="cellIs" dxfId="3641" priority="283" operator="equal">
      <formula>0</formula>
    </cfRule>
  </conditionalFormatting>
  <conditionalFormatting sqref="F31:H31">
    <cfRule type="cellIs" dxfId="3640" priority="276" operator="between">
      <formula>0</formula>
      <formula>0.0001</formula>
    </cfRule>
    <cfRule type="cellIs" dxfId="3639" priority="277" operator="greaterThanOrEqual">
      <formula>10</formula>
    </cfRule>
    <cfRule type="cellIs" dxfId="3638" priority="278" operator="between">
      <formula>1</formula>
      <formula>10</formula>
    </cfRule>
    <cfRule type="cellIs" dxfId="3637" priority="279" operator="between">
      <formula>0.1</formula>
      <formula>1</formula>
    </cfRule>
    <cfRule type="cellIs" dxfId="3636" priority="280" operator="between">
      <formula>0.001</formula>
      <formula>0.01</formula>
    </cfRule>
    <cfRule type="cellIs" dxfId="3635" priority="281" operator="between">
      <formula>0.0001</formula>
      <formula>0.001</formula>
    </cfRule>
    <cfRule type="cellIs" dxfId="3634" priority="282" operator="between">
      <formula>0.01</formula>
      <formula>0.1</formula>
    </cfRule>
  </conditionalFormatting>
  <conditionalFormatting sqref="F31:H31">
    <cfRule type="cellIs" dxfId="3633" priority="275" operator="equal">
      <formula>0</formula>
    </cfRule>
  </conditionalFormatting>
  <conditionalFormatting sqref="J31:L31">
    <cfRule type="cellIs" dxfId="3632" priority="268" operator="between">
      <formula>0</formula>
      <formula>0.0001</formula>
    </cfRule>
    <cfRule type="cellIs" dxfId="3631" priority="269" operator="greaterThanOrEqual">
      <formula>10</formula>
    </cfRule>
    <cfRule type="cellIs" dxfId="3630" priority="270" operator="between">
      <formula>1</formula>
      <formula>10</formula>
    </cfRule>
    <cfRule type="cellIs" dxfId="3629" priority="271" operator="between">
      <formula>0.1</formula>
      <formula>1</formula>
    </cfRule>
    <cfRule type="cellIs" dxfId="3628" priority="272" operator="between">
      <formula>0.001</formula>
      <formula>0.01</formula>
    </cfRule>
    <cfRule type="cellIs" dxfId="3627" priority="273" operator="between">
      <formula>0.0001</formula>
      <formula>0.001</formula>
    </cfRule>
    <cfRule type="cellIs" dxfId="3626" priority="274" operator="between">
      <formula>0.01</formula>
      <formula>0.1</formula>
    </cfRule>
  </conditionalFormatting>
  <conditionalFormatting sqref="J31:L31">
    <cfRule type="cellIs" dxfId="3625" priority="267" operator="equal">
      <formula>0</formula>
    </cfRule>
  </conditionalFormatting>
  <conditionalFormatting sqref="J31:L31">
    <cfRule type="cellIs" dxfId="3624" priority="260" operator="between">
      <formula>0</formula>
      <formula>0.0001</formula>
    </cfRule>
    <cfRule type="cellIs" dxfId="3623" priority="261" operator="greaterThanOrEqual">
      <formula>10</formula>
    </cfRule>
    <cfRule type="cellIs" dxfId="3622" priority="262" operator="between">
      <formula>1</formula>
      <formula>10</formula>
    </cfRule>
    <cfRule type="cellIs" dxfId="3621" priority="263" operator="between">
      <formula>0.1</formula>
      <formula>1</formula>
    </cfRule>
    <cfRule type="cellIs" dxfId="3620" priority="264" operator="between">
      <formula>0.001</formula>
      <formula>0.01</formula>
    </cfRule>
    <cfRule type="cellIs" dxfId="3619" priority="265" operator="between">
      <formula>0.0001</formula>
      <formula>0.001</formula>
    </cfRule>
    <cfRule type="cellIs" dxfId="3618" priority="266" operator="between">
      <formula>0.01</formula>
      <formula>0.1</formula>
    </cfRule>
  </conditionalFormatting>
  <conditionalFormatting sqref="J31:L31">
    <cfRule type="cellIs" dxfId="3617" priority="259" operator="equal">
      <formula>0</formula>
    </cfRule>
  </conditionalFormatting>
  <conditionalFormatting sqref="J31:L31">
    <cfRule type="cellIs" dxfId="3616" priority="252" operator="between">
      <formula>0</formula>
      <formula>0.0001</formula>
    </cfRule>
    <cfRule type="cellIs" dxfId="3615" priority="253" operator="greaterThanOrEqual">
      <formula>10</formula>
    </cfRule>
    <cfRule type="cellIs" dxfId="3614" priority="254" operator="between">
      <formula>1</formula>
      <formula>10</formula>
    </cfRule>
    <cfRule type="cellIs" dxfId="3613" priority="255" operator="between">
      <formula>0.1</formula>
      <formula>1</formula>
    </cfRule>
    <cfRule type="cellIs" dxfId="3612" priority="256" operator="between">
      <formula>0.001</formula>
      <formula>0.01</formula>
    </cfRule>
    <cfRule type="cellIs" dxfId="3611" priority="257" operator="between">
      <formula>0.0001</formula>
      <formula>0.001</formula>
    </cfRule>
    <cfRule type="cellIs" dxfId="3610" priority="258" operator="between">
      <formula>0.01</formula>
      <formula>0.1</formula>
    </cfRule>
  </conditionalFormatting>
  <conditionalFormatting sqref="J31:L31">
    <cfRule type="cellIs" dxfId="3609" priority="251" operator="equal">
      <formula>0</formula>
    </cfRule>
  </conditionalFormatting>
  <conditionalFormatting sqref="J31">
    <cfRule type="cellIs" dxfId="3608" priority="244" operator="between">
      <formula>0</formula>
      <formula>0.0001</formula>
    </cfRule>
    <cfRule type="cellIs" dxfId="3607" priority="245" operator="greaterThanOrEqual">
      <formula>10</formula>
    </cfRule>
    <cfRule type="cellIs" dxfId="3606" priority="246" operator="between">
      <formula>1</formula>
      <formula>10</formula>
    </cfRule>
    <cfRule type="cellIs" dxfId="3605" priority="247" operator="between">
      <formula>0.1</formula>
      <formula>1</formula>
    </cfRule>
    <cfRule type="cellIs" dxfId="3604" priority="248" operator="between">
      <formula>0.001</formula>
      <formula>0.01</formula>
    </cfRule>
    <cfRule type="cellIs" dxfId="3603" priority="249" operator="between">
      <formula>0.0001</formula>
      <formula>0.001</formula>
    </cfRule>
    <cfRule type="cellIs" dxfId="3602" priority="250" operator="between">
      <formula>0.01</formula>
      <formula>0.1</formula>
    </cfRule>
  </conditionalFormatting>
  <conditionalFormatting sqref="J31">
    <cfRule type="cellIs" dxfId="3601" priority="243" operator="equal">
      <formula>0</formula>
    </cfRule>
  </conditionalFormatting>
  <conditionalFormatting sqref="J31:L31">
    <cfRule type="cellIs" dxfId="3600" priority="236" operator="between">
      <formula>0</formula>
      <formula>0.0001</formula>
    </cfRule>
    <cfRule type="cellIs" dxfId="3599" priority="237" operator="greaterThanOrEqual">
      <formula>10</formula>
    </cfRule>
    <cfRule type="cellIs" dxfId="3598" priority="238" operator="between">
      <formula>1</formula>
      <formula>10</formula>
    </cfRule>
    <cfRule type="cellIs" dxfId="3597" priority="239" operator="between">
      <formula>0.1</formula>
      <formula>1</formula>
    </cfRule>
    <cfRule type="cellIs" dxfId="3596" priority="240" operator="between">
      <formula>0.001</formula>
      <formula>0.01</formula>
    </cfRule>
    <cfRule type="cellIs" dxfId="3595" priority="241" operator="between">
      <formula>0.0001</formula>
      <formula>0.001</formula>
    </cfRule>
    <cfRule type="cellIs" dxfId="3594" priority="242" operator="between">
      <formula>0.01</formula>
      <formula>0.1</formula>
    </cfRule>
  </conditionalFormatting>
  <conditionalFormatting sqref="J31:L31">
    <cfRule type="cellIs" dxfId="3593" priority="235" operator="equal">
      <formula>0</formula>
    </cfRule>
  </conditionalFormatting>
  <conditionalFormatting sqref="N31 P31">
    <cfRule type="cellIs" dxfId="3592" priority="234" operator="equal">
      <formula>0</formula>
    </cfRule>
  </conditionalFormatting>
  <conditionalFormatting sqref="N31 P31">
    <cfRule type="cellIs" dxfId="3591" priority="233" operator="equal">
      <formula>0</formula>
    </cfRule>
  </conditionalFormatting>
  <conditionalFormatting sqref="N31 P31">
    <cfRule type="cellIs" dxfId="3590" priority="232" operator="equal">
      <formula>0</formula>
    </cfRule>
  </conditionalFormatting>
  <conditionalFormatting sqref="N31 P31">
    <cfRule type="cellIs" dxfId="3589" priority="231" operator="equal">
      <formula>0</formula>
    </cfRule>
  </conditionalFormatting>
  <conditionalFormatting sqref="N31 P31">
    <cfRule type="cellIs" dxfId="3588" priority="230" operator="equal">
      <formula>0</formula>
    </cfRule>
  </conditionalFormatting>
  <conditionalFormatting sqref="N31:P31">
    <cfRule type="cellIs" dxfId="3587" priority="223" operator="between">
      <formula>0</formula>
      <formula>0.0001</formula>
    </cfRule>
    <cfRule type="cellIs" dxfId="3586" priority="224" operator="greaterThanOrEqual">
      <formula>10</formula>
    </cfRule>
    <cfRule type="cellIs" dxfId="3585" priority="225" operator="between">
      <formula>1</formula>
      <formula>10</formula>
    </cfRule>
    <cfRule type="cellIs" dxfId="3584" priority="226" operator="between">
      <formula>0.1</formula>
      <formula>1</formula>
    </cfRule>
    <cfRule type="cellIs" dxfId="3583" priority="227" operator="between">
      <formula>0.001</formula>
      <formula>0.01</formula>
    </cfRule>
    <cfRule type="cellIs" dxfId="3582" priority="228" operator="between">
      <formula>0.0001</formula>
      <formula>0.001</formula>
    </cfRule>
    <cfRule type="cellIs" dxfId="3581" priority="229" operator="between">
      <formula>0.01</formula>
      <formula>0.1</formula>
    </cfRule>
  </conditionalFormatting>
  <conditionalFormatting sqref="N31:P31">
    <cfRule type="cellIs" dxfId="3580" priority="222" operator="equal">
      <formula>0</formula>
    </cfRule>
  </conditionalFormatting>
  <conditionalFormatting sqref="N31:P31">
    <cfRule type="cellIs" dxfId="3579" priority="215" operator="between">
      <formula>0</formula>
      <formula>0.0001</formula>
    </cfRule>
    <cfRule type="cellIs" dxfId="3578" priority="216" operator="greaterThanOrEqual">
      <formula>10</formula>
    </cfRule>
    <cfRule type="cellIs" dxfId="3577" priority="217" operator="between">
      <formula>1</formula>
      <formula>10</formula>
    </cfRule>
    <cfRule type="cellIs" dxfId="3576" priority="218" operator="between">
      <formula>0.1</formula>
      <formula>1</formula>
    </cfRule>
    <cfRule type="cellIs" dxfId="3575" priority="219" operator="between">
      <formula>0.001</formula>
      <formula>0.01</formula>
    </cfRule>
    <cfRule type="cellIs" dxfId="3574" priority="220" operator="between">
      <formula>0.0001</formula>
      <formula>0.001</formula>
    </cfRule>
    <cfRule type="cellIs" dxfId="3573" priority="221" operator="between">
      <formula>0.01</formula>
      <formula>0.1</formula>
    </cfRule>
  </conditionalFormatting>
  <conditionalFormatting sqref="N31:P31">
    <cfRule type="cellIs" dxfId="3572" priority="214" operator="equal">
      <formula>0</formula>
    </cfRule>
  </conditionalFormatting>
  <conditionalFormatting sqref="N31:P31">
    <cfRule type="cellIs" dxfId="3571" priority="207" operator="between">
      <formula>0</formula>
      <formula>0.0001</formula>
    </cfRule>
    <cfRule type="cellIs" dxfId="3570" priority="208" operator="greaterThanOrEqual">
      <formula>10</formula>
    </cfRule>
    <cfRule type="cellIs" dxfId="3569" priority="209" operator="between">
      <formula>1</formula>
      <formula>10</formula>
    </cfRule>
    <cfRule type="cellIs" dxfId="3568" priority="210" operator="between">
      <formula>0.1</formula>
      <formula>1</formula>
    </cfRule>
    <cfRule type="cellIs" dxfId="3567" priority="211" operator="between">
      <formula>0.001</formula>
      <formula>0.01</formula>
    </cfRule>
    <cfRule type="cellIs" dxfId="3566" priority="212" operator="between">
      <formula>0.0001</formula>
      <formula>0.001</formula>
    </cfRule>
    <cfRule type="cellIs" dxfId="3565" priority="213" operator="between">
      <formula>0.01</formula>
      <formula>0.1</formula>
    </cfRule>
  </conditionalFormatting>
  <conditionalFormatting sqref="N31:P31">
    <cfRule type="cellIs" dxfId="3564" priority="206" operator="equal">
      <formula>0</formula>
    </cfRule>
  </conditionalFormatting>
  <conditionalFormatting sqref="N31:P31">
    <cfRule type="cellIs" dxfId="3563" priority="199" operator="between">
      <formula>0</formula>
      <formula>0.0001</formula>
    </cfRule>
    <cfRule type="cellIs" dxfId="3562" priority="200" operator="greaterThanOrEqual">
      <formula>10</formula>
    </cfRule>
    <cfRule type="cellIs" dxfId="3561" priority="201" operator="between">
      <formula>1</formula>
      <formula>10</formula>
    </cfRule>
    <cfRule type="cellIs" dxfId="3560" priority="202" operator="between">
      <formula>0.1</formula>
      <formula>1</formula>
    </cfRule>
    <cfRule type="cellIs" dxfId="3559" priority="203" operator="between">
      <formula>0.001</formula>
      <formula>0.01</formula>
    </cfRule>
    <cfRule type="cellIs" dxfId="3558" priority="204" operator="between">
      <formula>0.0001</formula>
      <formula>0.001</formula>
    </cfRule>
    <cfRule type="cellIs" dxfId="3557" priority="205" operator="between">
      <formula>0.01</formula>
      <formula>0.1</formula>
    </cfRule>
  </conditionalFormatting>
  <conditionalFormatting sqref="N31:P31">
    <cfRule type="cellIs" dxfId="3556" priority="198" operator="equal">
      <formula>0</formula>
    </cfRule>
  </conditionalFormatting>
  <conditionalFormatting sqref="N31:P31">
    <cfRule type="cellIs" dxfId="3555" priority="191" operator="between">
      <formula>0</formula>
      <formula>0.0001</formula>
    </cfRule>
    <cfRule type="cellIs" dxfId="3554" priority="192" operator="greaterThanOrEqual">
      <formula>10</formula>
    </cfRule>
    <cfRule type="cellIs" dxfId="3553" priority="193" operator="between">
      <formula>1</formula>
      <formula>10</formula>
    </cfRule>
    <cfRule type="cellIs" dxfId="3552" priority="194" operator="between">
      <formula>0.1</formula>
      <formula>1</formula>
    </cfRule>
    <cfRule type="cellIs" dxfId="3551" priority="195" operator="between">
      <formula>0.001</formula>
      <formula>0.01</formula>
    </cfRule>
    <cfRule type="cellIs" dxfId="3550" priority="196" operator="between">
      <formula>0.0001</formula>
      <formula>0.001</formula>
    </cfRule>
    <cfRule type="cellIs" dxfId="3549" priority="197" operator="between">
      <formula>0.01</formula>
      <formula>0.1</formula>
    </cfRule>
  </conditionalFormatting>
  <conditionalFormatting sqref="N31:P31">
    <cfRule type="cellIs" dxfId="3548" priority="190" operator="equal">
      <formula>0</formula>
    </cfRule>
  </conditionalFormatting>
  <conditionalFormatting sqref="N31">
    <cfRule type="cellIs" dxfId="3547" priority="183" operator="between">
      <formula>0</formula>
      <formula>0.0001</formula>
    </cfRule>
    <cfRule type="cellIs" dxfId="3546" priority="184" operator="greaterThanOrEqual">
      <formula>10</formula>
    </cfRule>
    <cfRule type="cellIs" dxfId="3545" priority="185" operator="between">
      <formula>1</formula>
      <formula>10</formula>
    </cfRule>
    <cfRule type="cellIs" dxfId="3544" priority="186" operator="between">
      <formula>0.1</formula>
      <formula>1</formula>
    </cfRule>
    <cfRule type="cellIs" dxfId="3543" priority="187" operator="between">
      <formula>0.001</formula>
      <formula>0.01</formula>
    </cfRule>
    <cfRule type="cellIs" dxfId="3542" priority="188" operator="between">
      <formula>0.0001</formula>
      <formula>0.001</formula>
    </cfRule>
    <cfRule type="cellIs" dxfId="3541" priority="189" operator="between">
      <formula>0.01</formula>
      <formula>0.1</formula>
    </cfRule>
  </conditionalFormatting>
  <conditionalFormatting sqref="N31">
    <cfRule type="cellIs" dxfId="3540" priority="182" operator="equal">
      <formula>0</formula>
    </cfRule>
  </conditionalFormatting>
  <conditionalFormatting sqref="N31">
    <cfRule type="cellIs" dxfId="3539" priority="175" operator="between">
      <formula>0</formula>
      <formula>0.0001</formula>
    </cfRule>
    <cfRule type="cellIs" dxfId="3538" priority="176" operator="greaterThanOrEqual">
      <formula>10</formula>
    </cfRule>
    <cfRule type="cellIs" dxfId="3537" priority="177" operator="between">
      <formula>1</formula>
      <formula>10</formula>
    </cfRule>
    <cfRule type="cellIs" dxfId="3536" priority="178" operator="between">
      <formula>0.1</formula>
      <formula>1</formula>
    </cfRule>
    <cfRule type="cellIs" dxfId="3535" priority="179" operator="between">
      <formula>0.001</formula>
      <formula>0.01</formula>
    </cfRule>
    <cfRule type="cellIs" dxfId="3534" priority="180" operator="between">
      <formula>0.0001</formula>
      <formula>0.001</formula>
    </cfRule>
    <cfRule type="cellIs" dxfId="3533" priority="181" operator="between">
      <formula>0.01</formula>
      <formula>0.1</formula>
    </cfRule>
  </conditionalFormatting>
  <conditionalFormatting sqref="N31">
    <cfRule type="cellIs" dxfId="3532" priority="174" operator="equal">
      <formula>0</formula>
    </cfRule>
  </conditionalFormatting>
  <conditionalFormatting sqref="N31">
    <cfRule type="cellIs" dxfId="3531" priority="167" operator="between">
      <formula>0</formula>
      <formula>0.0001</formula>
    </cfRule>
    <cfRule type="cellIs" dxfId="3530" priority="168" operator="greaterThanOrEqual">
      <formula>10</formula>
    </cfRule>
    <cfRule type="cellIs" dxfId="3529" priority="169" operator="between">
      <formula>1</formula>
      <formula>10</formula>
    </cfRule>
    <cfRule type="cellIs" dxfId="3528" priority="170" operator="between">
      <formula>0.1</formula>
      <formula>1</formula>
    </cfRule>
    <cfRule type="cellIs" dxfId="3527" priority="171" operator="between">
      <formula>0.001</formula>
      <formula>0.01</formula>
    </cfRule>
    <cfRule type="cellIs" dxfId="3526" priority="172" operator="between">
      <formula>0.0001</formula>
      <formula>0.001</formula>
    </cfRule>
    <cfRule type="cellIs" dxfId="3525" priority="173" operator="between">
      <formula>0.01</formula>
      <formula>0.1</formula>
    </cfRule>
  </conditionalFormatting>
  <conditionalFormatting sqref="N31">
    <cfRule type="cellIs" dxfId="3524" priority="166" operator="equal">
      <formula>0</formula>
    </cfRule>
  </conditionalFormatting>
  <conditionalFormatting sqref="N31">
    <cfRule type="cellIs" dxfId="3523" priority="159" operator="between">
      <formula>0</formula>
      <formula>0.0001</formula>
    </cfRule>
    <cfRule type="cellIs" dxfId="3522" priority="160" operator="greaterThanOrEqual">
      <formula>10</formula>
    </cfRule>
    <cfRule type="cellIs" dxfId="3521" priority="161" operator="between">
      <formula>1</formula>
      <formula>10</formula>
    </cfRule>
    <cfRule type="cellIs" dxfId="3520" priority="162" operator="between">
      <formula>0.1</formula>
      <formula>1</formula>
    </cfRule>
    <cfRule type="cellIs" dxfId="3519" priority="163" operator="between">
      <formula>0.001</formula>
      <formula>0.01</formula>
    </cfRule>
    <cfRule type="cellIs" dxfId="3518" priority="164" operator="between">
      <formula>0.0001</formula>
      <formula>0.001</formula>
    </cfRule>
    <cfRule type="cellIs" dxfId="3517" priority="165" operator="between">
      <formula>0.01</formula>
      <formula>0.1</formula>
    </cfRule>
  </conditionalFormatting>
  <conditionalFormatting sqref="N31">
    <cfRule type="cellIs" dxfId="3516" priority="158" operator="equal">
      <formula>0</formula>
    </cfRule>
  </conditionalFormatting>
  <conditionalFormatting sqref="N31:P31">
    <cfRule type="cellIs" dxfId="3515" priority="151" operator="between">
      <formula>0</formula>
      <formula>0.0001</formula>
    </cfRule>
    <cfRule type="cellIs" dxfId="3514" priority="152" operator="greaterThanOrEqual">
      <formula>10</formula>
    </cfRule>
    <cfRule type="cellIs" dxfId="3513" priority="153" operator="between">
      <formula>1</formula>
      <formula>10</formula>
    </cfRule>
    <cfRule type="cellIs" dxfId="3512" priority="154" operator="between">
      <formula>0.1</formula>
      <formula>1</formula>
    </cfRule>
    <cfRule type="cellIs" dxfId="3511" priority="155" operator="between">
      <formula>0.001</formula>
      <formula>0.01</formula>
    </cfRule>
    <cfRule type="cellIs" dxfId="3510" priority="156" operator="between">
      <formula>0.0001</formula>
      <formula>0.001</formula>
    </cfRule>
    <cfRule type="cellIs" dxfId="3509" priority="157" operator="between">
      <formula>0.01</formula>
      <formula>0.1</formula>
    </cfRule>
  </conditionalFormatting>
  <conditionalFormatting sqref="N31:P31">
    <cfRule type="cellIs" dxfId="3508" priority="150" operator="equal">
      <formula>0</formula>
    </cfRule>
  </conditionalFormatting>
  <conditionalFormatting sqref="N31:P31">
    <cfRule type="cellIs" dxfId="3507" priority="143" operator="between">
      <formula>0</formula>
      <formula>0.0001</formula>
    </cfRule>
    <cfRule type="cellIs" dxfId="3506" priority="144" operator="greaterThanOrEqual">
      <formula>10</formula>
    </cfRule>
    <cfRule type="cellIs" dxfId="3505" priority="145" operator="between">
      <formula>1</formula>
      <formula>10</formula>
    </cfRule>
    <cfRule type="cellIs" dxfId="3504" priority="146" operator="between">
      <formula>0.1</formula>
      <formula>1</formula>
    </cfRule>
    <cfRule type="cellIs" dxfId="3503" priority="147" operator="between">
      <formula>0.001</formula>
      <formula>0.01</formula>
    </cfRule>
    <cfRule type="cellIs" dxfId="3502" priority="148" operator="between">
      <formula>0.0001</formula>
      <formula>0.001</formula>
    </cfRule>
    <cfRule type="cellIs" dxfId="3501" priority="149" operator="between">
      <formula>0.01</formula>
      <formula>0.1</formula>
    </cfRule>
  </conditionalFormatting>
  <conditionalFormatting sqref="N31:P31">
    <cfRule type="cellIs" dxfId="3500" priority="142" operator="equal">
      <formula>0</formula>
    </cfRule>
  </conditionalFormatting>
  <conditionalFormatting sqref="N31:P31">
    <cfRule type="cellIs" dxfId="3499" priority="135" operator="between">
      <formula>0</formula>
      <formula>0.0001</formula>
    </cfRule>
    <cfRule type="cellIs" dxfId="3498" priority="136" operator="greaterThanOrEqual">
      <formula>10</formula>
    </cfRule>
    <cfRule type="cellIs" dxfId="3497" priority="137" operator="between">
      <formula>1</formula>
      <formula>10</formula>
    </cfRule>
    <cfRule type="cellIs" dxfId="3496" priority="138" operator="between">
      <formula>0.1</formula>
      <formula>1</formula>
    </cfRule>
    <cfRule type="cellIs" dxfId="3495" priority="139" operator="between">
      <formula>0.001</formula>
      <formula>0.01</formula>
    </cfRule>
    <cfRule type="cellIs" dxfId="3494" priority="140" operator="between">
      <formula>0.0001</formula>
      <formula>0.001</formula>
    </cfRule>
    <cfRule type="cellIs" dxfId="3493" priority="141" operator="between">
      <formula>0.01</formula>
      <formula>0.1</formula>
    </cfRule>
  </conditionalFormatting>
  <conditionalFormatting sqref="N31:P31">
    <cfRule type="cellIs" dxfId="3492" priority="134" operator="equal">
      <formula>0</formula>
    </cfRule>
  </conditionalFormatting>
  <conditionalFormatting sqref="N31">
    <cfRule type="cellIs" dxfId="3491" priority="127" operator="between">
      <formula>0</formula>
      <formula>0.0001</formula>
    </cfRule>
    <cfRule type="cellIs" dxfId="3490" priority="128" operator="greaterThanOrEqual">
      <formula>10</formula>
    </cfRule>
    <cfRule type="cellIs" dxfId="3489" priority="129" operator="between">
      <formula>1</formula>
      <formula>10</formula>
    </cfRule>
    <cfRule type="cellIs" dxfId="3488" priority="130" operator="between">
      <formula>0.1</formula>
      <formula>1</formula>
    </cfRule>
    <cfRule type="cellIs" dxfId="3487" priority="131" operator="between">
      <formula>0.001</formula>
      <formula>0.01</formula>
    </cfRule>
    <cfRule type="cellIs" dxfId="3486" priority="132" operator="between">
      <formula>0.0001</formula>
      <formula>0.001</formula>
    </cfRule>
    <cfRule type="cellIs" dxfId="3485" priority="133" operator="between">
      <formula>0.01</formula>
      <formula>0.1</formula>
    </cfRule>
  </conditionalFormatting>
  <conditionalFormatting sqref="N31">
    <cfRule type="cellIs" dxfId="3484" priority="126" operator="equal">
      <formula>0</formula>
    </cfRule>
  </conditionalFormatting>
  <conditionalFormatting sqref="N31:P31">
    <cfRule type="cellIs" dxfId="3483" priority="119" operator="between">
      <formula>0</formula>
      <formula>0.0001</formula>
    </cfRule>
    <cfRule type="cellIs" dxfId="3482" priority="120" operator="greaterThanOrEqual">
      <formula>10</formula>
    </cfRule>
    <cfRule type="cellIs" dxfId="3481" priority="121" operator="between">
      <formula>1</formula>
      <formula>10</formula>
    </cfRule>
    <cfRule type="cellIs" dxfId="3480" priority="122" operator="between">
      <formula>0.1</formula>
      <formula>1</formula>
    </cfRule>
    <cfRule type="cellIs" dxfId="3479" priority="123" operator="between">
      <formula>0.001</formula>
      <formula>0.01</formula>
    </cfRule>
    <cfRule type="cellIs" dxfId="3478" priority="124" operator="between">
      <formula>0.0001</formula>
      <formula>0.001</formula>
    </cfRule>
    <cfRule type="cellIs" dxfId="3477" priority="125" operator="between">
      <formula>0.01</formula>
      <formula>0.1</formula>
    </cfRule>
  </conditionalFormatting>
  <conditionalFormatting sqref="N31:P31">
    <cfRule type="cellIs" dxfId="3476" priority="118" operator="equal">
      <formula>0</formula>
    </cfRule>
  </conditionalFormatting>
  <conditionalFormatting sqref="I31">
    <cfRule type="cellIs" dxfId="3475" priority="111" operator="between">
      <formula>0</formula>
      <formula>0.0001</formula>
    </cfRule>
    <cfRule type="cellIs" dxfId="3474" priority="112" operator="greaterThanOrEqual">
      <formula>10</formula>
    </cfRule>
    <cfRule type="cellIs" dxfId="3473" priority="113" operator="between">
      <formula>1</formula>
      <formula>10</formula>
    </cfRule>
    <cfRule type="cellIs" dxfId="3472" priority="114" operator="between">
      <formula>0.1</formula>
      <formula>1</formula>
    </cfRule>
    <cfRule type="cellIs" dxfId="3471" priority="115" operator="between">
      <formula>0.001</formula>
      <formula>0.01</formula>
    </cfRule>
    <cfRule type="cellIs" dxfId="3470" priority="116" operator="between">
      <formula>0.0001</formula>
      <formula>0.001</formula>
    </cfRule>
    <cfRule type="cellIs" dxfId="3469" priority="117" operator="between">
      <formula>0.01</formula>
      <formula>0.1</formula>
    </cfRule>
  </conditionalFormatting>
  <conditionalFormatting sqref="I31">
    <cfRule type="cellIs" dxfId="3468" priority="110" operator="equal">
      <formula>0</formula>
    </cfRule>
  </conditionalFormatting>
  <conditionalFormatting sqref="M31">
    <cfRule type="cellIs" dxfId="3467" priority="103" operator="between">
      <formula>0</formula>
      <formula>0.0001</formula>
    </cfRule>
    <cfRule type="cellIs" dxfId="3466" priority="104" operator="greaterThanOrEqual">
      <formula>10</formula>
    </cfRule>
    <cfRule type="cellIs" dxfId="3465" priority="105" operator="between">
      <formula>1</formula>
      <formula>10</formula>
    </cfRule>
    <cfRule type="cellIs" dxfId="3464" priority="106" operator="between">
      <formula>0.1</formula>
      <formula>1</formula>
    </cfRule>
    <cfRule type="cellIs" dxfId="3463" priority="107" operator="between">
      <formula>0.001</formula>
      <formula>0.01</formula>
    </cfRule>
    <cfRule type="cellIs" dxfId="3462" priority="108" operator="between">
      <formula>0.0001</formula>
      <formula>0.001</formula>
    </cfRule>
    <cfRule type="cellIs" dxfId="3461" priority="109" operator="between">
      <formula>0.01</formula>
      <formula>0.1</formula>
    </cfRule>
  </conditionalFormatting>
  <conditionalFormatting sqref="M31">
    <cfRule type="cellIs" dxfId="3460" priority="102" operator="equal">
      <formula>0</formula>
    </cfRule>
  </conditionalFormatting>
  <conditionalFormatting sqref="M31">
    <cfRule type="cellIs" dxfId="3459" priority="95" operator="between">
      <formula>0</formula>
      <formula>0.0001</formula>
    </cfRule>
    <cfRule type="cellIs" dxfId="3458" priority="96" operator="greaterThanOrEqual">
      <formula>10</formula>
    </cfRule>
    <cfRule type="cellIs" dxfId="3457" priority="97" operator="between">
      <formula>1</formula>
      <formula>10</formula>
    </cfRule>
    <cfRule type="cellIs" dxfId="3456" priority="98" operator="between">
      <formula>0.1</formula>
      <formula>1</formula>
    </cfRule>
    <cfRule type="cellIs" dxfId="3455" priority="99" operator="between">
      <formula>0.001</formula>
      <formula>0.01</formula>
    </cfRule>
    <cfRule type="cellIs" dxfId="3454" priority="100" operator="between">
      <formula>0.0001</formula>
      <formula>0.001</formula>
    </cfRule>
    <cfRule type="cellIs" dxfId="3453" priority="101" operator="between">
      <formula>0.01</formula>
      <formula>0.1</formula>
    </cfRule>
  </conditionalFormatting>
  <conditionalFormatting sqref="M31">
    <cfRule type="cellIs" dxfId="3452" priority="94" operator="equal">
      <formula>0</formula>
    </cfRule>
  </conditionalFormatting>
  <conditionalFormatting sqref="M31">
    <cfRule type="cellIs" dxfId="3451" priority="87" operator="between">
      <formula>0</formula>
      <formula>0.0001</formula>
    </cfRule>
    <cfRule type="cellIs" dxfId="3450" priority="88" operator="greaterThanOrEqual">
      <formula>10</formula>
    </cfRule>
    <cfRule type="cellIs" dxfId="3449" priority="89" operator="between">
      <formula>1</formula>
      <formula>10</formula>
    </cfRule>
    <cfRule type="cellIs" dxfId="3448" priority="90" operator="between">
      <formula>0.1</formula>
      <formula>1</formula>
    </cfRule>
    <cfRule type="cellIs" dxfId="3447" priority="91" operator="between">
      <formula>0.001</formula>
      <formula>0.01</formula>
    </cfRule>
    <cfRule type="cellIs" dxfId="3446" priority="92" operator="between">
      <formula>0.0001</formula>
      <formula>0.001</formula>
    </cfRule>
    <cfRule type="cellIs" dxfId="3445" priority="93" operator="between">
      <formula>0.01</formula>
      <formula>0.1</formula>
    </cfRule>
  </conditionalFormatting>
  <conditionalFormatting sqref="M31">
    <cfRule type="cellIs" dxfId="3444" priority="86" operator="equal">
      <formula>0</formula>
    </cfRule>
  </conditionalFormatting>
  <conditionalFormatting sqref="M31">
    <cfRule type="cellIs" dxfId="3443" priority="79" operator="between">
      <formula>0</formula>
      <formula>0.0001</formula>
    </cfRule>
    <cfRule type="cellIs" dxfId="3442" priority="80" operator="greaterThanOrEqual">
      <formula>10</formula>
    </cfRule>
    <cfRule type="cellIs" dxfId="3441" priority="81" operator="between">
      <formula>1</formula>
      <formula>10</formula>
    </cfRule>
    <cfRule type="cellIs" dxfId="3440" priority="82" operator="between">
      <formula>0.1</formula>
      <formula>1</formula>
    </cfRule>
    <cfRule type="cellIs" dxfId="3439" priority="83" operator="between">
      <formula>0.001</formula>
      <formula>0.01</formula>
    </cfRule>
    <cfRule type="cellIs" dxfId="3438" priority="84" operator="between">
      <formula>0.0001</formula>
      <formula>0.001</formula>
    </cfRule>
    <cfRule type="cellIs" dxfId="3437" priority="85" operator="between">
      <formula>0.01</formula>
      <formula>0.1</formula>
    </cfRule>
  </conditionalFormatting>
  <conditionalFormatting sqref="M31">
    <cfRule type="cellIs" dxfId="3436" priority="78" operator="equal">
      <formula>0</formula>
    </cfRule>
  </conditionalFormatting>
  <conditionalFormatting sqref="Q31">
    <cfRule type="cellIs" dxfId="3435" priority="77" operator="equal">
      <formula>0</formula>
    </cfRule>
  </conditionalFormatting>
  <conditionalFormatting sqref="Q31">
    <cfRule type="cellIs" dxfId="3434" priority="76" operator="equal">
      <formula>0</formula>
    </cfRule>
  </conditionalFormatting>
  <conditionalFormatting sqref="Q31">
    <cfRule type="cellIs" dxfId="3433" priority="75" operator="equal">
      <formula>0</formula>
    </cfRule>
  </conditionalFormatting>
  <conditionalFormatting sqref="Q31">
    <cfRule type="cellIs" dxfId="3432" priority="74" operator="equal">
      <formula>0</formula>
    </cfRule>
  </conditionalFormatting>
  <conditionalFormatting sqref="Q31">
    <cfRule type="cellIs" dxfId="3431" priority="73" operator="equal">
      <formula>0</formula>
    </cfRule>
  </conditionalFormatting>
  <conditionalFormatting sqref="Q31">
    <cfRule type="cellIs" dxfId="3430" priority="66" operator="between">
      <formula>0</formula>
      <formula>0.0001</formula>
    </cfRule>
    <cfRule type="cellIs" dxfId="3429" priority="67" operator="greaterThanOrEqual">
      <formula>10</formula>
    </cfRule>
    <cfRule type="cellIs" dxfId="3428" priority="68" operator="between">
      <formula>1</formula>
      <formula>10</formula>
    </cfRule>
    <cfRule type="cellIs" dxfId="3427" priority="69" operator="between">
      <formula>0.1</formula>
      <formula>1</formula>
    </cfRule>
    <cfRule type="cellIs" dxfId="3426" priority="70" operator="between">
      <formula>0.001</formula>
      <formula>0.01</formula>
    </cfRule>
    <cfRule type="cellIs" dxfId="3425" priority="71" operator="between">
      <formula>0.0001</formula>
      <formula>0.001</formula>
    </cfRule>
    <cfRule type="cellIs" dxfId="3424" priority="72" operator="between">
      <formula>0.01</formula>
      <formula>0.1</formula>
    </cfRule>
  </conditionalFormatting>
  <conditionalFormatting sqref="Q31">
    <cfRule type="cellIs" dxfId="3423" priority="65" operator="equal">
      <formula>0</formula>
    </cfRule>
  </conditionalFormatting>
  <conditionalFormatting sqref="Q31">
    <cfRule type="cellIs" dxfId="3422" priority="58" operator="between">
      <formula>0</formula>
      <formula>0.0001</formula>
    </cfRule>
    <cfRule type="cellIs" dxfId="3421" priority="59" operator="greaterThanOrEqual">
      <formula>10</formula>
    </cfRule>
    <cfRule type="cellIs" dxfId="3420" priority="60" operator="between">
      <formula>1</formula>
      <formula>10</formula>
    </cfRule>
    <cfRule type="cellIs" dxfId="3419" priority="61" operator="between">
      <formula>0.1</formula>
      <formula>1</formula>
    </cfRule>
    <cfRule type="cellIs" dxfId="3418" priority="62" operator="between">
      <formula>0.001</formula>
      <formula>0.01</formula>
    </cfRule>
    <cfRule type="cellIs" dxfId="3417" priority="63" operator="between">
      <formula>0.0001</formula>
      <formula>0.001</formula>
    </cfRule>
    <cfRule type="cellIs" dxfId="3416" priority="64" operator="between">
      <formula>0.01</formula>
      <formula>0.1</formula>
    </cfRule>
  </conditionalFormatting>
  <conditionalFormatting sqref="Q31">
    <cfRule type="cellIs" dxfId="3415" priority="57" operator="equal">
      <formula>0</formula>
    </cfRule>
  </conditionalFormatting>
  <conditionalFormatting sqref="Q31">
    <cfRule type="cellIs" dxfId="3414" priority="50" operator="between">
      <formula>0</formula>
      <formula>0.0001</formula>
    </cfRule>
    <cfRule type="cellIs" dxfId="3413" priority="51" operator="greaterThanOrEqual">
      <formula>10</formula>
    </cfRule>
    <cfRule type="cellIs" dxfId="3412" priority="52" operator="between">
      <formula>1</formula>
      <formula>10</formula>
    </cfRule>
    <cfRule type="cellIs" dxfId="3411" priority="53" operator="between">
      <formula>0.1</formula>
      <formula>1</formula>
    </cfRule>
    <cfRule type="cellIs" dxfId="3410" priority="54" operator="between">
      <formula>0.001</formula>
      <formula>0.01</formula>
    </cfRule>
    <cfRule type="cellIs" dxfId="3409" priority="55" operator="between">
      <formula>0.0001</formula>
      <formula>0.001</formula>
    </cfRule>
    <cfRule type="cellIs" dxfId="3408" priority="56" operator="between">
      <formula>0.01</formula>
      <formula>0.1</formula>
    </cfRule>
  </conditionalFormatting>
  <conditionalFormatting sqref="Q31">
    <cfRule type="cellIs" dxfId="3407" priority="49" operator="equal">
      <formula>0</formula>
    </cfRule>
  </conditionalFormatting>
  <conditionalFormatting sqref="Q31">
    <cfRule type="cellIs" dxfId="3406" priority="42" operator="between">
      <formula>0</formula>
      <formula>0.0001</formula>
    </cfRule>
    <cfRule type="cellIs" dxfId="3405" priority="43" operator="greaterThanOrEqual">
      <formula>10</formula>
    </cfRule>
    <cfRule type="cellIs" dxfId="3404" priority="44" operator="between">
      <formula>1</formula>
      <formula>10</formula>
    </cfRule>
    <cfRule type="cellIs" dxfId="3403" priority="45" operator="between">
      <formula>0.1</formula>
      <formula>1</formula>
    </cfRule>
    <cfRule type="cellIs" dxfId="3402" priority="46" operator="between">
      <formula>0.001</formula>
      <formula>0.01</formula>
    </cfRule>
    <cfRule type="cellIs" dxfId="3401" priority="47" operator="between">
      <formula>0.0001</formula>
      <formula>0.001</formula>
    </cfRule>
    <cfRule type="cellIs" dxfId="3400" priority="48" operator="between">
      <formula>0.01</formula>
      <formula>0.1</formula>
    </cfRule>
  </conditionalFormatting>
  <conditionalFormatting sqref="Q31">
    <cfRule type="cellIs" dxfId="3399" priority="41" operator="equal">
      <formula>0</formula>
    </cfRule>
  </conditionalFormatting>
  <conditionalFormatting sqref="Q31">
    <cfRule type="cellIs" dxfId="3398" priority="34" operator="between">
      <formula>0</formula>
      <formula>0.0001</formula>
    </cfRule>
    <cfRule type="cellIs" dxfId="3397" priority="35" operator="greaterThanOrEqual">
      <formula>10</formula>
    </cfRule>
    <cfRule type="cellIs" dxfId="3396" priority="36" operator="between">
      <formula>1</formula>
      <formula>10</formula>
    </cfRule>
    <cfRule type="cellIs" dxfId="3395" priority="37" operator="between">
      <formula>0.1</formula>
      <formula>1</formula>
    </cfRule>
    <cfRule type="cellIs" dxfId="3394" priority="38" operator="between">
      <formula>0.001</formula>
      <formula>0.01</formula>
    </cfRule>
    <cfRule type="cellIs" dxfId="3393" priority="39" operator="between">
      <formula>0.0001</formula>
      <formula>0.001</formula>
    </cfRule>
    <cfRule type="cellIs" dxfId="3392" priority="40" operator="between">
      <formula>0.01</formula>
      <formula>0.1</formula>
    </cfRule>
  </conditionalFormatting>
  <conditionalFormatting sqref="Q31">
    <cfRule type="cellIs" dxfId="3391" priority="33" operator="equal">
      <formula>0</formula>
    </cfRule>
  </conditionalFormatting>
  <conditionalFormatting sqref="Q31">
    <cfRule type="cellIs" dxfId="3390" priority="26" operator="between">
      <formula>0</formula>
      <formula>0.0001</formula>
    </cfRule>
    <cfRule type="cellIs" dxfId="3389" priority="27" operator="greaterThanOrEqual">
      <formula>10</formula>
    </cfRule>
    <cfRule type="cellIs" dxfId="3388" priority="28" operator="between">
      <formula>1</formula>
      <formula>10</formula>
    </cfRule>
    <cfRule type="cellIs" dxfId="3387" priority="29" operator="between">
      <formula>0.1</formula>
      <formula>1</formula>
    </cfRule>
    <cfRule type="cellIs" dxfId="3386" priority="30" operator="between">
      <formula>0.001</formula>
      <formula>0.01</formula>
    </cfRule>
    <cfRule type="cellIs" dxfId="3385" priority="31" operator="between">
      <formula>0.0001</formula>
      <formula>0.001</formula>
    </cfRule>
    <cfRule type="cellIs" dxfId="3384" priority="32" operator="between">
      <formula>0.01</formula>
      <formula>0.1</formula>
    </cfRule>
  </conditionalFormatting>
  <conditionalFormatting sqref="Q31">
    <cfRule type="cellIs" dxfId="3383" priority="25" operator="equal">
      <formula>0</formula>
    </cfRule>
  </conditionalFormatting>
  <conditionalFormatting sqref="Q31">
    <cfRule type="cellIs" dxfId="3382" priority="18" operator="between">
      <formula>0</formula>
      <formula>0.0001</formula>
    </cfRule>
    <cfRule type="cellIs" dxfId="3381" priority="19" operator="greaterThanOrEqual">
      <formula>10</formula>
    </cfRule>
    <cfRule type="cellIs" dxfId="3380" priority="20" operator="between">
      <formula>1</formula>
      <formula>10</formula>
    </cfRule>
    <cfRule type="cellIs" dxfId="3379" priority="21" operator="between">
      <formula>0.1</formula>
      <formula>1</formula>
    </cfRule>
    <cfRule type="cellIs" dxfId="3378" priority="22" operator="between">
      <formula>0.001</formula>
      <formula>0.01</formula>
    </cfRule>
    <cfRule type="cellIs" dxfId="3377" priority="23" operator="between">
      <formula>0.0001</formula>
      <formula>0.001</formula>
    </cfRule>
    <cfRule type="cellIs" dxfId="3376" priority="24" operator="between">
      <formula>0.01</formula>
      <formula>0.1</formula>
    </cfRule>
  </conditionalFormatting>
  <conditionalFormatting sqref="Q31">
    <cfRule type="cellIs" dxfId="3375" priority="17" operator="equal">
      <formula>0</formula>
    </cfRule>
  </conditionalFormatting>
  <conditionalFormatting sqref="Q31">
    <cfRule type="cellIs" dxfId="3374" priority="10" operator="between">
      <formula>0</formula>
      <formula>0.0001</formula>
    </cfRule>
    <cfRule type="cellIs" dxfId="3373" priority="11" operator="greaterThanOrEqual">
      <formula>10</formula>
    </cfRule>
    <cfRule type="cellIs" dxfId="3372" priority="12" operator="between">
      <formula>1</formula>
      <formula>10</formula>
    </cfRule>
    <cfRule type="cellIs" dxfId="3371" priority="13" operator="between">
      <formula>0.1</formula>
      <formula>1</formula>
    </cfRule>
    <cfRule type="cellIs" dxfId="3370" priority="14" operator="between">
      <formula>0.001</formula>
      <formula>0.01</formula>
    </cfRule>
    <cfRule type="cellIs" dxfId="3369" priority="15" operator="between">
      <formula>0.0001</formula>
      <formula>0.001</formula>
    </cfRule>
    <cfRule type="cellIs" dxfId="3368" priority="16" operator="between">
      <formula>0.01</formula>
      <formula>0.1</formula>
    </cfRule>
  </conditionalFormatting>
  <conditionalFormatting sqref="Q31">
    <cfRule type="cellIs" dxfId="3367" priority="9" operator="equal">
      <formula>0</formula>
    </cfRule>
  </conditionalFormatting>
  <conditionalFormatting sqref="Q31">
    <cfRule type="cellIs" dxfId="3366" priority="2" operator="between">
      <formula>0</formula>
      <formula>0.0001</formula>
    </cfRule>
    <cfRule type="cellIs" dxfId="3365" priority="3" operator="greaterThanOrEqual">
      <formula>10</formula>
    </cfRule>
    <cfRule type="cellIs" dxfId="3364" priority="4" operator="between">
      <formula>1</formula>
      <formula>10</formula>
    </cfRule>
    <cfRule type="cellIs" dxfId="3363" priority="5" operator="between">
      <formula>0.1</formula>
      <formula>1</formula>
    </cfRule>
    <cfRule type="cellIs" dxfId="3362" priority="6" operator="between">
      <formula>0.001</formula>
      <formula>0.01</formula>
    </cfRule>
    <cfRule type="cellIs" dxfId="3361" priority="7" operator="between">
      <formula>0.0001</formula>
      <formula>0.001</formula>
    </cfRule>
    <cfRule type="cellIs" dxfId="3360" priority="8" operator="between">
      <formula>0.01</formula>
      <formula>0.1</formula>
    </cfRule>
  </conditionalFormatting>
  <conditionalFormatting sqref="Q31">
    <cfRule type="cellIs" dxfId="3359" priority="1" operator="equal">
      <formula>0</formula>
    </cfRule>
  </conditionalFormatting>
  <dataValidations disablePrompts="1" count="1">
    <dataValidation allowBlank="1" showInputMessage="1" showErrorMessage="1" sqref="B8:B9" xr:uid="{00000000-0002-0000-0700-000000000000}">
      <formula1>0</formula1>
      <formula2>0</formula2>
    </dataValidation>
  </dataValidations>
  <pageMargins left="0.7" right="0.7" top="0.75" bottom="0.75" header="0.51180555555555496" footer="0.51180555555555496"/>
  <pageSetup paperSize="9" scale="96" firstPageNumber="0" orientation="landscape" horizontalDpi="300" verticalDpi="300" r:id="rId1"/>
  <headerFooter>
    <oddFooter>&amp;C&amp;1#&amp;"Arial"&amp;10&amp;K000000---Internal Use---</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49505" r:id="rId4" name="Button 1">
              <controlPr defaultSize="0" print="0" autoFill="0" autoPict="0" macro="[0]!_xludf.max">
                <anchor moveWithCells="1" sizeWithCells="1">
                  <from>
                    <xdr:col>0</xdr:col>
                    <xdr:colOff>57150</xdr:colOff>
                    <xdr:row>44</xdr:row>
                    <xdr:rowOff>19050</xdr:rowOff>
                  </from>
                  <to>
                    <xdr:col>0</xdr:col>
                    <xdr:colOff>2105025</xdr:colOff>
                    <xdr:row>45</xdr:row>
                    <xdr:rowOff>142875</xdr:rowOff>
                  </to>
                </anchor>
              </controlPr>
            </control>
          </mc:Choice>
        </mc:AlternateContent>
        <mc:AlternateContent xmlns:mc="http://schemas.openxmlformats.org/markup-compatibility/2006">
          <mc:Choice Requires="x14">
            <control shapeId="149506" r:id="rId5" name="Button 2">
              <controlPr defaultSize="0" print="0" autoFill="0" autoPict="0" macro="[0]!reset_dt50">
                <anchor moveWithCells="1" sizeWithCells="1">
                  <from>
                    <xdr:col>0</xdr:col>
                    <xdr:colOff>1209675</xdr:colOff>
                    <xdr:row>11</xdr:row>
                    <xdr:rowOff>95250</xdr:rowOff>
                  </from>
                  <to>
                    <xdr:col>0</xdr:col>
                    <xdr:colOff>2543175</xdr:colOff>
                    <xdr:row>13</xdr:row>
                    <xdr:rowOff>28575</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22E3C3-EB8E-4553-833A-5F2019A77282}">
  <sheetPr codeName="Tabelle20"/>
  <dimension ref="A1:J97"/>
  <sheetViews>
    <sheetView workbookViewId="0"/>
  </sheetViews>
  <sheetFormatPr defaultColWidth="9.140625" defaultRowHeight="15"/>
  <cols>
    <col min="1" max="4" width="56.5703125" customWidth="1"/>
    <col min="5" max="5" width="23.140625" customWidth="1"/>
    <col min="6" max="6" width="31.42578125" customWidth="1"/>
    <col min="7" max="7" width="21" bestFit="1" customWidth="1"/>
    <col min="8" max="8" width="29.42578125" customWidth="1"/>
    <col min="9" max="9" width="30.42578125" customWidth="1"/>
    <col min="10" max="10" width="40.28515625" bestFit="1" customWidth="1"/>
    <col min="11" max="11" width="28.42578125" customWidth="1"/>
    <col min="12" max="13" width="32" bestFit="1" customWidth="1"/>
    <col min="14" max="14" width="33.85546875" bestFit="1" customWidth="1"/>
  </cols>
  <sheetData>
    <row r="1" spans="1:8" ht="16.5" thickTop="1" thickBot="1">
      <c r="A1" s="86" t="s">
        <v>560</v>
      </c>
      <c r="B1" s="78" t="s">
        <v>310</v>
      </c>
      <c r="C1" s="78"/>
      <c r="F1" s="87" t="s">
        <v>561</v>
      </c>
      <c r="G1" s="86" t="s">
        <v>562</v>
      </c>
    </row>
    <row r="2" spans="1:8">
      <c r="A2" s="88" t="s">
        <v>501</v>
      </c>
      <c r="B2" t="s">
        <v>563</v>
      </c>
      <c r="D2" s="86" t="s">
        <v>564</v>
      </c>
      <c r="F2" s="89" t="s">
        <v>565</v>
      </c>
      <c r="G2" s="90" t="s">
        <v>566</v>
      </c>
    </row>
    <row r="3" spans="1:8" ht="15.75" thickBot="1">
      <c r="A3" s="88" t="s">
        <v>500</v>
      </c>
      <c r="B3" t="s">
        <v>312</v>
      </c>
      <c r="D3" s="88" t="s">
        <v>458</v>
      </c>
      <c r="F3" s="91" t="s">
        <v>455</v>
      </c>
      <c r="G3" s="90">
        <v>5</v>
      </c>
    </row>
    <row r="4" spans="1:8" ht="16.5" thickTop="1" thickBot="1">
      <c r="A4" s="88" t="s">
        <v>497</v>
      </c>
      <c r="D4" s="92" t="s">
        <v>470</v>
      </c>
      <c r="F4" t="s">
        <v>459</v>
      </c>
      <c r="G4" s="93">
        <v>10</v>
      </c>
    </row>
    <row r="5" spans="1:8" ht="15.75" thickBot="1">
      <c r="A5" s="92" t="s">
        <v>567</v>
      </c>
      <c r="F5" s="78"/>
    </row>
    <row r="6" spans="1:8">
      <c r="F6" s="78"/>
    </row>
    <row r="7" spans="1:8">
      <c r="D7" s="78" t="s">
        <v>568</v>
      </c>
      <c r="F7" s="78" t="s">
        <v>569</v>
      </c>
    </row>
    <row r="8" spans="1:8" ht="15.75" thickBot="1">
      <c r="A8" s="78" t="s">
        <v>570</v>
      </c>
      <c r="B8" s="126" t="s">
        <v>434</v>
      </c>
      <c r="C8" s="126" t="s">
        <v>571</v>
      </c>
      <c r="F8" s="78" t="s">
        <v>572</v>
      </c>
      <c r="G8" s="78" t="s">
        <v>573</v>
      </c>
      <c r="H8" s="78" t="s">
        <v>574</v>
      </c>
    </row>
    <row r="9" spans="1:8" ht="30.75" thickBot="1">
      <c r="A9" s="94" t="s">
        <v>575</v>
      </c>
      <c r="B9" t="str">
        <f>IF(i_AppEquip&amp;i_AppMeth="Vehicle-mountedUpward spraying","HCVM","nonHCVM")</f>
        <v>nonHCVM</v>
      </c>
      <c r="C9" s="329">
        <v>0</v>
      </c>
      <c r="D9" s="95" t="s">
        <v>576</v>
      </c>
      <c r="F9" s="128" t="s">
        <v>499</v>
      </c>
      <c r="G9" s="128" t="s">
        <v>499</v>
      </c>
      <c r="H9" s="97" t="s">
        <v>509</v>
      </c>
    </row>
    <row r="10" spans="1:8" ht="15.75" thickBot="1">
      <c r="C10" s="329">
        <v>0.5</v>
      </c>
      <c r="D10" s="94" t="e" cm="1">
        <f t="array" ref="D10">IF(i_FormVal&lt;&gt;"Granules, fine granules",listapplications, IF(AND(i_FormVal="Granules, fine granules",i_IndoorOutdoor="Outdoor"),"GranulesOutdoor",IF(AND(i_FormVal="Granules, fine granules",i_IndoorOutdoor="Indoor"),"GranulesIndoor","")))</f>
        <v>#N/A</v>
      </c>
      <c r="F10" s="117" t="s">
        <v>504</v>
      </c>
      <c r="G10" s="117" t="s">
        <v>504</v>
      </c>
      <c r="H10" s="98" t="s">
        <v>499</v>
      </c>
    </row>
    <row r="11" spans="1:8" ht="15.75" thickBot="1">
      <c r="F11" s="118"/>
      <c r="G11" s="118"/>
      <c r="H11" s="98" t="s">
        <v>504</v>
      </c>
    </row>
    <row r="12" spans="1:8" ht="15.75" thickBot="1">
      <c r="D12" s="78" t="s">
        <v>496</v>
      </c>
      <c r="F12" s="104"/>
      <c r="H12" s="101"/>
    </row>
    <row r="13" spans="1:8">
      <c r="B13" t="e" cm="1">
        <f t="array" aca="1" ref="B13" ca="1">INDIRECT(SUBSTITUTE(i_IndoorOutdoor&amp;i_AppMeth," ",""))</f>
        <v>#REF!</v>
      </c>
      <c r="D13" s="103" t="s">
        <v>498</v>
      </c>
      <c r="F13" s="104"/>
    </row>
    <row r="14" spans="1:8" ht="15.75" thickBot="1">
      <c r="A14" s="78" t="s">
        <v>577</v>
      </c>
      <c r="B14" s="78"/>
      <c r="C14" s="78"/>
      <c r="D14" s="98" t="s">
        <v>505</v>
      </c>
      <c r="F14" s="78" t="s">
        <v>578</v>
      </c>
      <c r="G14" s="78" t="s">
        <v>579</v>
      </c>
    </row>
    <row r="15" spans="1:8" ht="15.75" thickBot="1">
      <c r="A15" s="99"/>
      <c r="D15" s="108"/>
      <c r="F15" s="103" t="s">
        <v>499</v>
      </c>
      <c r="G15" s="103" t="s">
        <v>499</v>
      </c>
    </row>
    <row r="16" spans="1:8" ht="15.75" thickBot="1">
      <c r="A16" s="100" t="s">
        <v>580</v>
      </c>
      <c r="B16" s="78"/>
      <c r="C16" s="78"/>
      <c r="D16" s="78" t="s">
        <v>507</v>
      </c>
      <c r="F16" s="98" t="s">
        <v>504</v>
      </c>
      <c r="G16" s="98" t="s">
        <v>504</v>
      </c>
    </row>
    <row r="17" spans="1:7" ht="15.75" thickBot="1">
      <c r="A17" s="102" t="s">
        <v>496</v>
      </c>
      <c r="D17" s="103" t="s">
        <v>498</v>
      </c>
      <c r="F17" s="101" t="s">
        <v>506</v>
      </c>
    </row>
    <row r="18" spans="1:7">
      <c r="A18" s="102" t="s">
        <v>581</v>
      </c>
      <c r="B18" s="99"/>
      <c r="D18" s="98" t="s">
        <v>505</v>
      </c>
      <c r="F18" s="104"/>
    </row>
    <row r="19" spans="1:7" ht="15.75" thickBot="1">
      <c r="A19" s="105" t="s">
        <v>508</v>
      </c>
      <c r="B19" s="99"/>
      <c r="D19" s="108"/>
      <c r="F19" s="104"/>
    </row>
    <row r="20" spans="1:7" ht="15.75" thickBot="1">
      <c r="B20" s="105"/>
      <c r="D20" s="78" t="s">
        <v>508</v>
      </c>
      <c r="F20" s="78" t="s">
        <v>582</v>
      </c>
      <c r="G20" s="104"/>
    </row>
    <row r="21" spans="1:7" ht="15.75" thickBot="1">
      <c r="B21" s="78"/>
      <c r="C21" s="78"/>
      <c r="D21" s="103" t="s">
        <v>498</v>
      </c>
      <c r="F21" s="96" t="s">
        <v>583</v>
      </c>
      <c r="G21" s="78" t="s">
        <v>584</v>
      </c>
    </row>
    <row r="22" spans="1:7">
      <c r="A22" s="86" t="s">
        <v>585</v>
      </c>
      <c r="D22" s="98" t="s">
        <v>505</v>
      </c>
      <c r="G22" s="97" t="s">
        <v>509</v>
      </c>
    </row>
    <row r="23" spans="1:7" ht="15.75" thickBot="1">
      <c r="A23" s="88" t="s">
        <v>586</v>
      </c>
      <c r="B23" s="79"/>
      <c r="C23" s="79"/>
      <c r="D23" s="106"/>
      <c r="G23" s="98" t="s">
        <v>499</v>
      </c>
    </row>
    <row r="24" spans="1:7" ht="33" thickBot="1">
      <c r="A24" s="107" t="s">
        <v>587</v>
      </c>
      <c r="F24" s="78" t="s">
        <v>588</v>
      </c>
      <c r="G24" s="98" t="s">
        <v>504</v>
      </c>
    </row>
    <row r="25" spans="1:7" ht="15.75" thickBot="1">
      <c r="B25" s="78"/>
      <c r="C25" s="78"/>
      <c r="D25" s="78" t="s">
        <v>589</v>
      </c>
      <c r="F25" s="96" t="s">
        <v>590</v>
      </c>
      <c r="G25" s="101"/>
    </row>
    <row r="26" spans="1:7">
      <c r="A26" s="86" t="s">
        <v>591</v>
      </c>
      <c r="D26" s="103" t="s">
        <v>592</v>
      </c>
    </row>
    <row r="27" spans="1:7">
      <c r="A27" s="88" t="s">
        <v>372</v>
      </c>
      <c r="D27" s="98" t="s">
        <v>593</v>
      </c>
    </row>
    <row r="28" spans="1:7" ht="15" customHeight="1" thickBot="1">
      <c r="A28" s="92" t="s">
        <v>471</v>
      </c>
      <c r="D28" s="101" t="s">
        <v>583</v>
      </c>
      <c r="F28" s="78" t="s">
        <v>594</v>
      </c>
      <c r="G28" s="78" t="s">
        <v>595</v>
      </c>
    </row>
    <row r="29" spans="1:7" ht="15.75" thickBot="1">
      <c r="F29" s="94" t="s">
        <v>590</v>
      </c>
      <c r="G29" s="94" t="s">
        <v>509</v>
      </c>
    </row>
    <row r="30" spans="1:7" ht="15.75" thickBot="1">
      <c r="D30" s="78" t="s">
        <v>596</v>
      </c>
    </row>
    <row r="31" spans="1:7" ht="15.75" thickBot="1">
      <c r="B31" s="126"/>
      <c r="C31" s="126"/>
      <c r="D31" s="94" t="s">
        <v>597</v>
      </c>
      <c r="G31" s="78" t="s">
        <v>598</v>
      </c>
    </row>
    <row r="32" spans="1:7" ht="15.75" thickBot="1">
      <c r="A32" s="126" t="s">
        <v>599</v>
      </c>
      <c r="G32" s="94" t="s">
        <v>509</v>
      </c>
    </row>
    <row r="33" spans="1:8" ht="15.75" thickBot="1">
      <c r="A33" t="str" cm="1">
        <f t="array" ref="A33">IF(LEFT(i_IndoorOutdoor,3)&lt;&gt;"Ind","Normal",i_IndoorOutdoor&amp;LEFT(i_AppMeth,4))</f>
        <v>Normal</v>
      </c>
      <c r="B33" s="126" t="s">
        <v>600</v>
      </c>
      <c r="C33" s="126" t="s">
        <v>601</v>
      </c>
      <c r="D33" t="e">
        <f>IF(i_ByCropType&amp;i_AppMeth="Fruit cropsUpward spraying","UpwardFruitCrops","OtherCrops")</f>
        <v>#N/A</v>
      </c>
    </row>
    <row r="34" spans="1:8" ht="15.75" thickBot="1">
      <c r="A34" s="126" t="s">
        <v>602</v>
      </c>
      <c r="B34" s="99" t="s">
        <v>372</v>
      </c>
      <c r="C34" s="99" t="s">
        <v>372</v>
      </c>
      <c r="D34" s="86" t="s">
        <v>603</v>
      </c>
      <c r="E34" s="86" t="s">
        <v>604</v>
      </c>
      <c r="G34" s="78" t="s">
        <v>605</v>
      </c>
    </row>
    <row r="35" spans="1:8" ht="15.75" thickBot="1">
      <c r="A35" s="99" t="s">
        <v>372</v>
      </c>
      <c r="B35" s="99" t="s">
        <v>456</v>
      </c>
      <c r="C35" s="99" t="s">
        <v>456</v>
      </c>
      <c r="D35" s="88" t="s">
        <v>606</v>
      </c>
      <c r="E35" s="88" t="s">
        <v>339</v>
      </c>
      <c r="G35" s="94" t="s">
        <v>583</v>
      </c>
    </row>
    <row r="36" spans="1:8">
      <c r="A36" s="99" t="s">
        <v>456</v>
      </c>
      <c r="B36" s="314" t="s">
        <v>471</v>
      </c>
      <c r="C36" s="314"/>
      <c r="D36" s="88" t="s">
        <v>607</v>
      </c>
      <c r="E36" s="88"/>
    </row>
    <row r="37" spans="1:8">
      <c r="B37" s="314" t="s">
        <v>608</v>
      </c>
      <c r="E37" s="88"/>
    </row>
    <row r="38" spans="1:8">
      <c r="B38" s="126"/>
    </row>
    <row r="39" spans="1:8">
      <c r="B39" s="126" t="s">
        <v>609</v>
      </c>
      <c r="C39" s="126" t="s">
        <v>610</v>
      </c>
    </row>
    <row r="40" spans="1:8">
      <c r="B40" s="99" t="s">
        <v>372</v>
      </c>
      <c r="C40" s="99" t="s">
        <v>372</v>
      </c>
    </row>
    <row r="41" spans="1:8">
      <c r="B41" s="99" t="s">
        <v>456</v>
      </c>
      <c r="C41" s="99" t="s">
        <v>456</v>
      </c>
    </row>
    <row r="42" spans="1:8">
      <c r="B42" s="314" t="s">
        <v>471</v>
      </c>
      <c r="C42" s="314" t="s">
        <v>608</v>
      </c>
    </row>
    <row r="43" spans="1:8">
      <c r="B43" s="314" t="s">
        <v>608</v>
      </c>
    </row>
    <row r="45" spans="1:8" ht="15.75" thickBot="1">
      <c r="A45" s="200" t="s">
        <v>611</v>
      </c>
      <c r="B45" s="200" t="s">
        <v>612</v>
      </c>
      <c r="C45" s="200"/>
      <c r="D45" s="200"/>
    </row>
    <row r="46" spans="1:8" ht="15.75" thickBot="1">
      <c r="A46" s="94" t="str">
        <f>SUBSTITUTE(SUBSTITUTE(i_CropType," ",""),"/","")</f>
        <v/>
      </c>
      <c r="B46" t="e" cm="1">
        <f t="array" ref="B46">IF(i_FormVal="Granules, fine granules",i_IndoorOutdoor&amp;SUBSTITUTE(i_AppMeth," ",""),INDEX(ay_CropType,MATCH(i_CropType,key_CropType,0),10)&amp;i_IndoorOutdoor&amp;LEFT(i_AppMeth,4))</f>
        <v>#N/A</v>
      </c>
    </row>
    <row r="48" spans="1:8">
      <c r="H48" s="109"/>
    </row>
    <row r="49" spans="1:10">
      <c r="A49" s="201" t="s">
        <v>613</v>
      </c>
      <c r="B49" s="201" t="s">
        <v>614</v>
      </c>
      <c r="C49" s="201" t="s">
        <v>615</v>
      </c>
      <c r="D49" s="201" t="s">
        <v>616</v>
      </c>
      <c r="E49" s="201" t="s">
        <v>617</v>
      </c>
      <c r="F49" s="201" t="s">
        <v>618</v>
      </c>
      <c r="G49" s="205" t="s">
        <v>619</v>
      </c>
      <c r="H49" s="202" t="s">
        <v>620</v>
      </c>
      <c r="I49" s="202" t="s">
        <v>621</v>
      </c>
      <c r="J49" s="202" t="s">
        <v>622</v>
      </c>
    </row>
    <row r="50" spans="1:10">
      <c r="A50" s="203" t="s">
        <v>623</v>
      </c>
      <c r="B50" s="203" t="s">
        <v>623</v>
      </c>
      <c r="C50" s="203" t="s">
        <v>624</v>
      </c>
      <c r="D50" s="203" t="s">
        <v>625</v>
      </c>
      <c r="E50" s="203" t="s">
        <v>625</v>
      </c>
      <c r="F50" s="203" t="s">
        <v>625</v>
      </c>
      <c r="G50" s="203" t="s">
        <v>625</v>
      </c>
      <c r="H50" s="203" t="s">
        <v>626</v>
      </c>
      <c r="I50" s="203" t="s">
        <v>627</v>
      </c>
      <c r="J50" s="203" t="s">
        <v>628</v>
      </c>
    </row>
    <row r="51" spans="1:10">
      <c r="A51" s="203" t="s">
        <v>629</v>
      </c>
      <c r="B51" s="203" t="s">
        <v>630</v>
      </c>
      <c r="C51" s="203" t="s">
        <v>623</v>
      </c>
      <c r="D51" s="203" t="s">
        <v>623</v>
      </c>
      <c r="E51" s="203" t="s">
        <v>623</v>
      </c>
      <c r="F51" s="203" t="s">
        <v>623</v>
      </c>
      <c r="G51" s="203" t="s">
        <v>623</v>
      </c>
      <c r="H51" s="203" t="s">
        <v>631</v>
      </c>
      <c r="I51" s="203"/>
      <c r="J51" s="203" t="s">
        <v>623</v>
      </c>
    </row>
    <row r="52" spans="1:10">
      <c r="A52" s="203"/>
      <c r="B52" s="203"/>
      <c r="C52" s="203"/>
      <c r="D52" s="203" t="s">
        <v>632</v>
      </c>
      <c r="E52" s="203" t="s">
        <v>632</v>
      </c>
      <c r="F52" s="203" t="s">
        <v>632</v>
      </c>
      <c r="G52" s="203" t="s">
        <v>632</v>
      </c>
      <c r="H52" s="203"/>
      <c r="I52" s="203"/>
    </row>
    <row r="53" spans="1:10">
      <c r="A53" s="100"/>
      <c r="B53" s="203"/>
      <c r="C53" s="203"/>
      <c r="D53" s="203"/>
      <c r="E53" s="204"/>
      <c r="F53" s="204"/>
      <c r="G53" s="206"/>
      <c r="H53" s="203"/>
      <c r="I53" s="203"/>
    </row>
    <row r="54" spans="1:10">
      <c r="A54" s="115"/>
      <c r="B54" s="203"/>
      <c r="C54" s="203"/>
      <c r="D54" s="203"/>
      <c r="E54" s="204"/>
      <c r="F54" s="206"/>
      <c r="G54" s="203"/>
      <c r="H54" s="203"/>
    </row>
    <row r="55" spans="1:10">
      <c r="A55" s="201" t="s">
        <v>633</v>
      </c>
      <c r="B55" s="202" t="s">
        <v>634</v>
      </c>
      <c r="C55" s="202" t="s">
        <v>635</v>
      </c>
      <c r="D55" s="202" t="s">
        <v>636</v>
      </c>
      <c r="E55" s="202" t="s">
        <v>637</v>
      </c>
      <c r="F55" s="207" t="s">
        <v>638</v>
      </c>
      <c r="G55" s="202" t="s">
        <v>639</v>
      </c>
      <c r="H55" s="202" t="s">
        <v>640</v>
      </c>
      <c r="I55" s="202" t="s">
        <v>641</v>
      </c>
    </row>
    <row r="56" spans="1:10">
      <c r="A56" s="203" t="s">
        <v>628</v>
      </c>
      <c r="B56" s="203" t="s">
        <v>642</v>
      </c>
      <c r="C56" s="203" t="s">
        <v>643</v>
      </c>
      <c r="D56" s="203" t="s">
        <v>643</v>
      </c>
      <c r="E56" s="203" t="s">
        <v>644</v>
      </c>
      <c r="F56" s="206" t="s">
        <v>623</v>
      </c>
      <c r="G56" s="203" t="s">
        <v>628</v>
      </c>
      <c r="H56" s="203" t="s">
        <v>625</v>
      </c>
      <c r="I56" s="203" t="s">
        <v>627</v>
      </c>
    </row>
    <row r="57" spans="1:10">
      <c r="A57" s="203" t="s">
        <v>623</v>
      </c>
      <c r="B57" s="203" t="s">
        <v>645</v>
      </c>
      <c r="C57" s="203" t="s">
        <v>623</v>
      </c>
      <c r="D57" s="203" t="s">
        <v>623</v>
      </c>
      <c r="E57" s="203" t="s">
        <v>623</v>
      </c>
      <c r="G57" s="203" t="s">
        <v>623</v>
      </c>
      <c r="H57" s="203" t="s">
        <v>623</v>
      </c>
    </row>
    <row r="58" spans="1:10">
      <c r="A58" s="203"/>
      <c r="B58" s="203" t="s">
        <v>646</v>
      </c>
      <c r="C58" s="203"/>
      <c r="D58" s="203"/>
      <c r="E58" s="203"/>
      <c r="F58" s="206"/>
      <c r="G58" s="203"/>
      <c r="H58" s="203" t="s">
        <v>632</v>
      </c>
    </row>
    <row r="59" spans="1:10">
      <c r="A59" s="203"/>
      <c r="B59" s="203" t="s">
        <v>647</v>
      </c>
      <c r="C59" s="203"/>
      <c r="D59" s="203"/>
      <c r="E59" s="203"/>
      <c r="F59" s="206"/>
      <c r="G59" s="203"/>
      <c r="H59" s="203"/>
    </row>
    <row r="60" spans="1:10">
      <c r="B60" s="203" t="s">
        <v>648</v>
      </c>
      <c r="C60" s="203"/>
      <c r="D60" s="203"/>
      <c r="E60" s="203"/>
      <c r="F60" s="206"/>
      <c r="G60" s="203"/>
      <c r="H60" s="203"/>
    </row>
    <row r="61" spans="1:10" ht="15.75" thickBot="1">
      <c r="A61" s="200" t="s">
        <v>649</v>
      </c>
      <c r="E61" s="109"/>
    </row>
    <row r="62" spans="1:10" ht="15.75" thickBot="1">
      <c r="A62" s="94" t="str">
        <f>SUBSTITUTE(SUBSTITUTE(i_CropType," ",""),"/","")&amp;"TSF"</f>
        <v>TSF</v>
      </c>
      <c r="E62" s="109"/>
    </row>
    <row r="63" spans="1:10">
      <c r="A63" s="201" t="str">
        <f>A49&amp;"TSF"</f>
        <v>FieldCropsTSF</v>
      </c>
      <c r="B63" s="201" t="str">
        <f t="shared" ref="B63:J63" si="0">B49&amp;"TSF"</f>
        <v>HopsTSF</v>
      </c>
      <c r="C63" s="201" t="str">
        <f t="shared" si="0"/>
        <v>ViticultureTSF</v>
      </c>
      <c r="D63" s="201" t="str">
        <f t="shared" si="0"/>
        <v>OrchardsTSF</v>
      </c>
      <c r="E63" s="201" t="str">
        <f t="shared" si="0"/>
        <v>CitrusTSF</v>
      </c>
      <c r="F63" s="201" t="str">
        <f t="shared" si="0"/>
        <v>OilfruitsTSF</v>
      </c>
      <c r="G63" s="201" t="str">
        <f t="shared" si="0"/>
        <v>CanefruitHighberriesTSF</v>
      </c>
      <c r="H63" s="201" t="str">
        <f t="shared" si="0"/>
        <v>BarearablelandTSF</v>
      </c>
      <c r="I63" s="201" t="str">
        <f t="shared" si="0"/>
        <v>BarenonarablelandTSF</v>
      </c>
      <c r="J63" s="201" t="str">
        <f t="shared" si="0"/>
        <v>StrawberryoutdoorTSF</v>
      </c>
    </row>
    <row r="64" spans="1:10">
      <c r="A64" s="203" t="s">
        <v>627</v>
      </c>
      <c r="B64" s="203" t="s">
        <v>627</v>
      </c>
      <c r="C64" s="203" t="s">
        <v>627</v>
      </c>
      <c r="D64" s="203" t="s">
        <v>627</v>
      </c>
      <c r="E64" s="203" t="s">
        <v>627</v>
      </c>
      <c r="F64" s="203" t="s">
        <v>627</v>
      </c>
      <c r="G64" s="623" t="s">
        <v>627</v>
      </c>
      <c r="H64" s="203" t="s">
        <v>627</v>
      </c>
      <c r="I64" s="203" t="s">
        <v>627</v>
      </c>
      <c r="J64" s="203" t="s">
        <v>627</v>
      </c>
    </row>
    <row r="65" spans="1:10">
      <c r="A65" s="203"/>
      <c r="B65" s="203"/>
      <c r="C65" s="203"/>
      <c r="D65" s="203"/>
      <c r="E65" s="203"/>
      <c r="F65" s="203"/>
      <c r="G65" s="203" t="s">
        <v>650</v>
      </c>
      <c r="H65" s="203"/>
      <c r="I65" s="203"/>
      <c r="J65" s="203"/>
    </row>
    <row r="66" spans="1:10">
      <c r="A66" s="203"/>
      <c r="B66" s="203"/>
      <c r="C66" s="203"/>
      <c r="D66" s="203"/>
      <c r="E66" s="203"/>
      <c r="F66" s="203"/>
      <c r="G66" s="203" t="s">
        <v>651</v>
      </c>
      <c r="H66" s="203"/>
      <c r="I66" s="203"/>
    </row>
    <row r="67" spans="1:10">
      <c r="A67" s="100"/>
      <c r="B67" s="203"/>
      <c r="C67" s="203"/>
      <c r="D67" s="203"/>
      <c r="E67" s="204"/>
      <c r="F67" s="204"/>
      <c r="G67" s="206"/>
      <c r="H67" s="203"/>
      <c r="I67" s="203"/>
    </row>
    <row r="68" spans="1:10">
      <c r="A68" s="115"/>
      <c r="B68" s="203"/>
      <c r="C68" s="203"/>
      <c r="D68" s="203"/>
      <c r="E68" s="204"/>
      <c r="F68" s="206"/>
      <c r="G68" s="203"/>
      <c r="H68" s="203"/>
    </row>
    <row r="69" spans="1:10">
      <c r="A69" s="201" t="str">
        <f>A55&amp;"TSF"</f>
        <v>LowberriesTSF</v>
      </c>
      <c r="B69" s="201" t="str">
        <f t="shared" ref="B69:I69" si="1">B55&amp;"TSF"</f>
        <v>LowvegetablesTSF</v>
      </c>
      <c r="C69" s="201" t="str">
        <f t="shared" si="1"/>
        <v>LowornamentalsTSF</v>
      </c>
      <c r="D69" s="201" t="str">
        <f t="shared" si="1"/>
        <v>HighornamentalsTSF</v>
      </c>
      <c r="E69" s="201" t="str">
        <f t="shared" si="1"/>
        <v>AmenitygrasslandTSF</v>
      </c>
      <c r="F69" s="201" t="str">
        <f t="shared" si="1"/>
        <v>AgriculturalgrasslandTSF</v>
      </c>
      <c r="G69" s="201" t="str">
        <f t="shared" si="1"/>
        <v>HighvegetablesTSF</v>
      </c>
      <c r="H69" s="201" t="str">
        <f t="shared" si="1"/>
        <v>StrawberryindoorTSF</v>
      </c>
      <c r="I69" s="201" t="str">
        <f t="shared" si="1"/>
        <v>BarenonarablelandrailwaytrackTSF</v>
      </c>
    </row>
    <row r="70" spans="1:10">
      <c r="A70" t="s">
        <v>627</v>
      </c>
      <c r="B70" t="s">
        <v>627</v>
      </c>
      <c r="C70" t="s">
        <v>627</v>
      </c>
      <c r="D70" s="623" t="s">
        <v>627</v>
      </c>
      <c r="E70" s="203" t="s">
        <v>627</v>
      </c>
      <c r="F70" s="203" t="s">
        <v>627</v>
      </c>
      <c r="G70" s="623" t="s">
        <v>627</v>
      </c>
      <c r="H70" s="203" t="s">
        <v>652</v>
      </c>
      <c r="I70" s="203" t="s">
        <v>627</v>
      </c>
    </row>
    <row r="71" spans="1:10">
      <c r="A71" s="203" t="s">
        <v>652</v>
      </c>
      <c r="B71" s="203" t="s">
        <v>652</v>
      </c>
      <c r="C71" s="203" t="s">
        <v>652</v>
      </c>
      <c r="D71" s="203" t="s">
        <v>652</v>
      </c>
      <c r="E71" s="203"/>
      <c r="G71" s="203" t="s">
        <v>652</v>
      </c>
      <c r="H71" s="203" t="s">
        <v>651</v>
      </c>
    </row>
    <row r="72" spans="1:10">
      <c r="A72" s="203" t="s">
        <v>651</v>
      </c>
      <c r="B72" s="203" t="s">
        <v>651</v>
      </c>
      <c r="C72" s="203" t="s">
        <v>651</v>
      </c>
      <c r="D72" s="203" t="s">
        <v>651</v>
      </c>
      <c r="E72" s="203"/>
      <c r="F72" s="206"/>
      <c r="G72" s="203" t="s">
        <v>651</v>
      </c>
      <c r="H72" s="203" t="s">
        <v>650</v>
      </c>
    </row>
    <row r="73" spans="1:10">
      <c r="A73" s="203" t="s">
        <v>650</v>
      </c>
      <c r="B73" s="203" t="s">
        <v>650</v>
      </c>
      <c r="C73" s="203" t="s">
        <v>650</v>
      </c>
      <c r="D73" s="203" t="s">
        <v>650</v>
      </c>
      <c r="E73" s="203"/>
      <c r="F73" s="206"/>
      <c r="G73" s="203" t="s">
        <v>650</v>
      </c>
    </row>
    <row r="74" spans="1:10">
      <c r="A74" s="203"/>
      <c r="B74" s="203"/>
      <c r="C74" s="203"/>
      <c r="D74" s="203"/>
      <c r="E74" s="203"/>
      <c r="F74" s="206"/>
      <c r="G74" s="203"/>
      <c r="H74" s="203"/>
    </row>
    <row r="75" spans="1:10">
      <c r="H75" s="203"/>
    </row>
    <row r="76" spans="1:10">
      <c r="A76" s="126" t="str" cm="1">
        <f t="array" ref="A76">IF(i_FormVal="Granules, fine granules","Granules"&amp;i_IndoorOutdoor,listworker&amp;"updown")</f>
        <v>updown</v>
      </c>
      <c r="B76" s="126" t="str">
        <f>listworker&amp;"inout"</f>
        <v>inout</v>
      </c>
      <c r="E76" s="109"/>
    </row>
    <row r="77" spans="1:10">
      <c r="A77" s="78" t="s">
        <v>613</v>
      </c>
      <c r="B77" s="78" t="s">
        <v>614</v>
      </c>
      <c r="C77" s="78" t="s">
        <v>615</v>
      </c>
      <c r="D77" s="78" t="s">
        <v>616</v>
      </c>
      <c r="E77" s="78" t="s">
        <v>617</v>
      </c>
      <c r="F77" s="78" t="s">
        <v>618</v>
      </c>
      <c r="G77" s="78" t="s">
        <v>619</v>
      </c>
      <c r="I77" s="126" t="s">
        <v>621</v>
      </c>
      <c r="J77" s="126" t="s">
        <v>622</v>
      </c>
    </row>
    <row r="78" spans="1:10">
      <c r="A78" s="104" t="s">
        <v>498</v>
      </c>
      <c r="B78" s="104" t="s">
        <v>498</v>
      </c>
      <c r="C78" s="104" t="s">
        <v>498</v>
      </c>
      <c r="D78" s="104" t="s">
        <v>498</v>
      </c>
      <c r="E78" s="104" t="s">
        <v>498</v>
      </c>
      <c r="F78" s="104" t="s">
        <v>498</v>
      </c>
      <c r="G78" s="104" t="s">
        <v>498</v>
      </c>
      <c r="H78" s="126" t="s">
        <v>620</v>
      </c>
      <c r="I78" s="104" t="s">
        <v>498</v>
      </c>
      <c r="J78" s="104" t="s">
        <v>498</v>
      </c>
    </row>
    <row r="79" spans="1:10">
      <c r="A79" t="s">
        <v>508</v>
      </c>
      <c r="B79" s="104" t="s">
        <v>505</v>
      </c>
      <c r="C79" s="104" t="s">
        <v>505</v>
      </c>
      <c r="D79" s="104" t="s">
        <v>505</v>
      </c>
      <c r="E79" s="104" t="s">
        <v>505</v>
      </c>
      <c r="F79" s="104" t="s">
        <v>505</v>
      </c>
      <c r="G79" s="104" t="s">
        <v>505</v>
      </c>
      <c r="H79" s="104" t="s">
        <v>498</v>
      </c>
      <c r="I79" t="s">
        <v>508</v>
      </c>
      <c r="J79" t="s">
        <v>508</v>
      </c>
    </row>
    <row r="80" spans="1:10">
      <c r="B80" t="s">
        <v>508</v>
      </c>
      <c r="C80" t="s">
        <v>508</v>
      </c>
      <c r="D80" t="s">
        <v>508</v>
      </c>
      <c r="E80" t="s">
        <v>508</v>
      </c>
      <c r="F80" t="s">
        <v>508</v>
      </c>
      <c r="G80" t="s">
        <v>496</v>
      </c>
      <c r="H80" t="s">
        <v>496</v>
      </c>
    </row>
    <row r="81" spans="1:9">
      <c r="G81" t="s">
        <v>581</v>
      </c>
      <c r="H81" t="s">
        <v>508</v>
      </c>
      <c r="I81" s="104"/>
    </row>
    <row r="82" spans="1:9">
      <c r="B82" s="104"/>
      <c r="C82" s="104"/>
      <c r="D82" s="104"/>
      <c r="F82" s="104"/>
      <c r="G82" t="s">
        <v>508</v>
      </c>
      <c r="I82" s="104"/>
    </row>
    <row r="83" spans="1:9">
      <c r="F83" s="104"/>
    </row>
    <row r="84" spans="1:9">
      <c r="F84" s="104"/>
    </row>
    <row r="86" spans="1:9">
      <c r="A86" s="78" t="s">
        <v>633</v>
      </c>
      <c r="B86" s="126" t="s">
        <v>634</v>
      </c>
      <c r="C86" s="126" t="s">
        <v>635</v>
      </c>
      <c r="D86" s="126" t="s">
        <v>636</v>
      </c>
      <c r="E86" s="126" t="s">
        <v>637</v>
      </c>
      <c r="F86" s="126" t="s">
        <v>638</v>
      </c>
      <c r="G86" s="126" t="s">
        <v>639</v>
      </c>
      <c r="I86" s="126" t="s">
        <v>641</v>
      </c>
    </row>
    <row r="87" spans="1:9">
      <c r="A87" s="104" t="s">
        <v>498</v>
      </c>
      <c r="B87" s="104" t="s">
        <v>498</v>
      </c>
      <c r="C87" s="104" t="s">
        <v>498</v>
      </c>
      <c r="D87" s="104" t="s">
        <v>498</v>
      </c>
      <c r="E87" s="104" t="s">
        <v>498</v>
      </c>
      <c r="F87" s="104" t="s">
        <v>498</v>
      </c>
      <c r="G87" s="104" t="s">
        <v>498</v>
      </c>
      <c r="H87" s="126" t="s">
        <v>640</v>
      </c>
      <c r="I87" s="104" t="s">
        <v>498</v>
      </c>
    </row>
    <row r="88" spans="1:9">
      <c r="A88" t="s">
        <v>496</v>
      </c>
      <c r="B88" t="s">
        <v>496</v>
      </c>
      <c r="C88" t="s">
        <v>496</v>
      </c>
      <c r="D88" s="104" t="s">
        <v>505</v>
      </c>
      <c r="E88" t="s">
        <v>508</v>
      </c>
      <c r="F88" t="s">
        <v>508</v>
      </c>
      <c r="G88" s="104" t="s">
        <v>505</v>
      </c>
      <c r="H88" s="104" t="s">
        <v>498</v>
      </c>
      <c r="I88" t="s">
        <v>508</v>
      </c>
    </row>
    <row r="89" spans="1:9">
      <c r="A89" t="s">
        <v>508</v>
      </c>
      <c r="B89" t="s">
        <v>581</v>
      </c>
      <c r="C89" t="s">
        <v>581</v>
      </c>
      <c r="D89" t="s">
        <v>496</v>
      </c>
      <c r="G89" t="s">
        <v>496</v>
      </c>
      <c r="H89" s="104" t="s">
        <v>505</v>
      </c>
    </row>
    <row r="90" spans="1:9">
      <c r="B90" t="s">
        <v>508</v>
      </c>
      <c r="C90" t="s">
        <v>508</v>
      </c>
      <c r="D90" t="s">
        <v>581</v>
      </c>
      <c r="E90" s="104"/>
      <c r="G90" t="s">
        <v>581</v>
      </c>
      <c r="H90" t="s">
        <v>496</v>
      </c>
    </row>
    <row r="91" spans="1:9">
      <c r="A91" s="104"/>
      <c r="D91" t="s">
        <v>508</v>
      </c>
      <c r="E91" s="104"/>
      <c r="G91" t="s">
        <v>508</v>
      </c>
      <c r="H91" t="s">
        <v>581</v>
      </c>
    </row>
    <row r="92" spans="1:9">
      <c r="A92" s="104"/>
      <c r="B92" s="104"/>
      <c r="C92" s="104"/>
      <c r="D92" s="104"/>
      <c r="G92" s="104"/>
      <c r="H92" s="98"/>
    </row>
    <row r="93" spans="1:9" ht="15.75" thickBot="1">
      <c r="B93" s="104"/>
      <c r="C93" s="104"/>
      <c r="D93" s="104"/>
      <c r="G93" s="104"/>
      <c r="H93" s="101"/>
    </row>
    <row r="94" spans="1:9" ht="15.75" thickBot="1">
      <c r="A94" s="126" t="s">
        <v>653</v>
      </c>
      <c r="B94" s="126" t="s">
        <v>654</v>
      </c>
      <c r="C94" s="126" t="s">
        <v>655</v>
      </c>
      <c r="D94" s="126" t="s">
        <v>656</v>
      </c>
      <c r="E94" s="126" t="s">
        <v>657</v>
      </c>
      <c r="F94" s="126" t="s">
        <v>658</v>
      </c>
      <c r="G94" s="126" t="s">
        <v>659</v>
      </c>
    </row>
    <row r="95" spans="1:9" ht="15.75" thickBot="1">
      <c r="A95" s="97" t="s">
        <v>509</v>
      </c>
      <c r="B95" s="97" t="s">
        <v>509</v>
      </c>
      <c r="C95" s="97" t="s">
        <v>509</v>
      </c>
      <c r="D95" s="103" t="s">
        <v>499</v>
      </c>
      <c r="E95" s="103" t="s">
        <v>499</v>
      </c>
      <c r="F95" s="103" t="s">
        <v>499</v>
      </c>
      <c r="G95" s="103" t="s">
        <v>499</v>
      </c>
    </row>
    <row r="96" spans="1:9">
      <c r="B96" s="103" t="s">
        <v>499</v>
      </c>
      <c r="C96" s="103" t="s">
        <v>499</v>
      </c>
      <c r="D96" s="98" t="s">
        <v>504</v>
      </c>
      <c r="E96" s="98" t="s">
        <v>504</v>
      </c>
      <c r="F96" s="98" t="s">
        <v>504</v>
      </c>
      <c r="G96" s="98" t="s">
        <v>504</v>
      </c>
    </row>
    <row r="97" spans="2:5" ht="15.75" thickBot="1">
      <c r="B97" s="98" t="s">
        <v>504</v>
      </c>
      <c r="C97" s="98" t="s">
        <v>504</v>
      </c>
      <c r="E97" s="101" t="s">
        <v>506</v>
      </c>
    </row>
  </sheetData>
  <sheetProtection algorithmName="SHA-512" hashValue="8rbTJ4Mstifq0k3jGnxaGB7tVSwXjVrcSX1g1WYE7k1QU7tS8Kt2emn9AblqYyhJhqfSqRXzWyC9D328XSrdAQ==" saltValue="VFmAK3yyScEHxKLirPGWxQ==" spinCount="100000" sheet="1" objects="1" scenarios="1"/>
  <pageMargins left="0.7" right="0.7" top="0.75" bottom="0.75" header="0.51180555555555496" footer="0.51180555555555496"/>
  <pageSetup paperSize="9" firstPageNumber="0" orientation="portrait" horizontalDpi="300" verticalDpi="300" r:id="rId1"/>
  <headerFooter>
    <oddFooter>&amp;C&amp;1#&amp;"Arial"&amp;10&amp;K000000---Internal Use---</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3101F9-BA34-41B5-BEE3-5EBBDBDAF97E}">
  <sheetPr codeName="Tabelle17"/>
  <dimension ref="A1:N134"/>
  <sheetViews>
    <sheetView workbookViewId="0"/>
  </sheetViews>
  <sheetFormatPr defaultColWidth="11.42578125" defaultRowHeight="15"/>
  <cols>
    <col min="1" max="1" width="57.140625" customWidth="1"/>
    <col min="2" max="2" width="25.5703125" customWidth="1"/>
    <col min="3" max="3" width="23.5703125" customWidth="1"/>
    <col min="4" max="4" width="32.7109375" customWidth="1"/>
    <col min="5" max="5" width="40.28515625" customWidth="1"/>
    <col min="6" max="6" width="8.42578125" bestFit="1" customWidth="1"/>
    <col min="7" max="8" width="20" bestFit="1" customWidth="1"/>
    <col min="9" max="9" width="10.85546875" customWidth="1"/>
    <col min="10" max="10" width="17" customWidth="1"/>
    <col min="11" max="11" width="7.140625" customWidth="1"/>
    <col min="12" max="12" width="9" customWidth="1"/>
    <col min="13" max="13" width="17.85546875" customWidth="1"/>
    <col min="14" max="14" width="18" bestFit="1" customWidth="1"/>
    <col min="15" max="15" width="6.28515625" bestFit="1" customWidth="1"/>
  </cols>
  <sheetData>
    <row r="1" spans="1:14">
      <c r="A1" t="str" cm="1">
        <f t="array" ref="A1">sys_keyworker</f>
        <v>Other</v>
      </c>
      <c r="B1">
        <v>2</v>
      </c>
      <c r="C1">
        <v>3</v>
      </c>
      <c r="D1">
        <v>4</v>
      </c>
      <c r="E1">
        <v>5</v>
      </c>
      <c r="F1">
        <v>6</v>
      </c>
      <c r="G1">
        <v>7</v>
      </c>
      <c r="H1">
        <v>8</v>
      </c>
      <c r="I1">
        <v>9</v>
      </c>
      <c r="J1">
        <v>10</v>
      </c>
      <c r="K1">
        <v>11</v>
      </c>
      <c r="L1">
        <v>12</v>
      </c>
      <c r="M1">
        <v>13</v>
      </c>
      <c r="N1">
        <v>14</v>
      </c>
    </row>
    <row r="2" spans="1:14">
      <c r="A2" t="s">
        <v>660</v>
      </c>
      <c r="B2" t="s">
        <v>661</v>
      </c>
      <c r="C2" t="s">
        <v>662</v>
      </c>
      <c r="D2" t="s">
        <v>663</v>
      </c>
      <c r="E2" t="s">
        <v>664</v>
      </c>
      <c r="F2" s="109" t="s">
        <v>317</v>
      </c>
      <c r="G2" t="s">
        <v>665</v>
      </c>
      <c r="H2" t="s">
        <v>666</v>
      </c>
      <c r="I2" t="s">
        <v>667</v>
      </c>
      <c r="J2" t="s">
        <v>668</v>
      </c>
      <c r="K2" t="s">
        <v>669</v>
      </c>
      <c r="L2" t="s">
        <v>670</v>
      </c>
      <c r="M2" t="s">
        <v>671</v>
      </c>
      <c r="N2" t="s">
        <v>672</v>
      </c>
    </row>
    <row r="3" spans="1:14" hidden="1">
      <c r="A3" t="str">
        <f>Tabelle5[[#This Row],[Crop]]&amp;Tabelle5[[#This Row],[Activity]]&amp;Tabelle5[[#This Row],[ActivityTSF]]&amp;Tabelle5[[#This Row],[productCategory]]</f>
        <v>Agricultural grasslandInspection, irrigationNAherbicide</v>
      </c>
      <c r="B3" t="s">
        <v>673</v>
      </c>
      <c r="C3" t="s">
        <v>674</v>
      </c>
      <c r="D3" t="s">
        <v>623</v>
      </c>
      <c r="E3" t="s">
        <v>627</v>
      </c>
      <c r="F3" s="109">
        <v>2</v>
      </c>
      <c r="G3" s="109" t="s">
        <v>675</v>
      </c>
      <c r="H3" s="109">
        <v>12500</v>
      </c>
      <c r="I3" s="109">
        <v>1400</v>
      </c>
      <c r="J3" s="109">
        <v>1250</v>
      </c>
      <c r="K3" t="s">
        <v>627</v>
      </c>
      <c r="L3">
        <v>1</v>
      </c>
      <c r="M3" t="s">
        <v>676</v>
      </c>
      <c r="N3" t="s">
        <v>627</v>
      </c>
    </row>
    <row r="4" spans="1:14" hidden="1">
      <c r="A4" t="str">
        <f>Tabelle5[[#This Row],[Crop]]&amp;Tabelle5[[#This Row],[Activity]]&amp;Tabelle5[[#This Row],[ActivityTSF]]&amp;Tabelle5[[#This Row],[productCategory]]</f>
        <v>Agricultural grasslandInspection, irrigationNAother</v>
      </c>
      <c r="B4" t="s">
        <v>673</v>
      </c>
      <c r="C4" t="s">
        <v>674</v>
      </c>
      <c r="D4" t="s">
        <v>623</v>
      </c>
      <c r="E4" t="s">
        <v>627</v>
      </c>
      <c r="F4" s="109">
        <v>2</v>
      </c>
      <c r="G4" s="109" t="s">
        <v>675</v>
      </c>
      <c r="H4" s="109">
        <v>12500</v>
      </c>
      <c r="I4" s="109">
        <v>1400</v>
      </c>
      <c r="J4" s="109">
        <v>1250</v>
      </c>
      <c r="K4" t="s">
        <v>627</v>
      </c>
      <c r="L4">
        <v>1</v>
      </c>
      <c r="M4" t="s">
        <v>677</v>
      </c>
      <c r="N4" t="s">
        <v>627</v>
      </c>
    </row>
    <row r="5" spans="1:14" hidden="1">
      <c r="A5" t="str">
        <f>Tabelle5[[#This Row],[Crop]]&amp;Tabelle5[[#This Row],[Activity]]&amp;Tabelle5[[#This Row],[ActivityTSF]]&amp;Tabelle5[[#This Row],[productCategory]]</f>
        <v>Amenity grasslandInspection, irrigationNAherbicide</v>
      </c>
      <c r="B5" t="s">
        <v>678</v>
      </c>
      <c r="C5" t="s">
        <v>674</v>
      </c>
      <c r="D5" t="s">
        <v>623</v>
      </c>
      <c r="E5" t="s">
        <v>627</v>
      </c>
      <c r="F5" s="109">
        <v>2</v>
      </c>
      <c r="G5" s="109" t="s">
        <v>675</v>
      </c>
      <c r="H5" s="109">
        <v>12500</v>
      </c>
      <c r="I5" s="109">
        <v>1400</v>
      </c>
      <c r="J5" s="109">
        <v>1250</v>
      </c>
      <c r="K5" t="s">
        <v>627</v>
      </c>
      <c r="L5">
        <v>1</v>
      </c>
      <c r="M5" t="s">
        <v>676</v>
      </c>
      <c r="N5" t="s">
        <v>627</v>
      </c>
    </row>
    <row r="6" spans="1:14" hidden="1">
      <c r="A6" t="str">
        <f>Tabelle5[[#This Row],[Crop]]&amp;Tabelle5[[#This Row],[Activity]]&amp;Tabelle5[[#This Row],[ActivityTSF]]&amp;Tabelle5[[#This Row],[productCategory]]</f>
        <v>Amenity grasslandInspection, irrigationNAother</v>
      </c>
      <c r="B6" t="s">
        <v>678</v>
      </c>
      <c r="C6" t="s">
        <v>674</v>
      </c>
      <c r="D6" t="s">
        <v>623</v>
      </c>
      <c r="E6" t="s">
        <v>627</v>
      </c>
      <c r="F6" s="109">
        <v>2</v>
      </c>
      <c r="G6" s="109" t="s">
        <v>675</v>
      </c>
      <c r="H6" s="109">
        <v>12500</v>
      </c>
      <c r="I6" s="109">
        <v>1400</v>
      </c>
      <c r="J6" s="109">
        <v>1250</v>
      </c>
      <c r="K6" t="s">
        <v>627</v>
      </c>
      <c r="L6">
        <v>1</v>
      </c>
      <c r="M6" t="s">
        <v>677</v>
      </c>
      <c r="N6" t="s">
        <v>627</v>
      </c>
    </row>
    <row r="7" spans="1:14" hidden="1">
      <c r="A7" t="str">
        <f>Tabelle5[[#This Row],[Crop]]&amp;Tabelle5[[#This Row],[Activity]]&amp;Tabelle5[[#This Row],[ActivityTSF]]&amp;Tabelle5[[#This Row],[productCategory]]</f>
        <v>Amenity grasslandTurf harvesting, cutting and handlingNAherbicide</v>
      </c>
      <c r="B7" t="s">
        <v>678</v>
      </c>
      <c r="C7" t="s">
        <v>678</v>
      </c>
      <c r="D7" t="s">
        <v>644</v>
      </c>
      <c r="E7" t="s">
        <v>627</v>
      </c>
      <c r="F7" s="109">
        <v>8</v>
      </c>
      <c r="G7" s="109" t="s">
        <v>675</v>
      </c>
      <c r="H7" s="109" t="s">
        <v>627</v>
      </c>
      <c r="I7" s="109">
        <v>8800</v>
      </c>
      <c r="J7" s="109" t="s">
        <v>627</v>
      </c>
      <c r="K7" t="s">
        <v>627</v>
      </c>
      <c r="L7">
        <v>1</v>
      </c>
      <c r="M7" t="s">
        <v>676</v>
      </c>
      <c r="N7" s="109" t="s">
        <v>627</v>
      </c>
    </row>
    <row r="8" spans="1:14" hidden="1">
      <c r="A8" t="str">
        <f>Tabelle5[[#This Row],[Crop]]&amp;Tabelle5[[#This Row],[Activity]]&amp;Tabelle5[[#This Row],[ActivityTSF]]&amp;Tabelle5[[#This Row],[productCategory]]</f>
        <v>Amenity grasslandTurf harvesting, cutting and handlingNAother</v>
      </c>
      <c r="B8" t="s">
        <v>678</v>
      </c>
      <c r="C8" t="s">
        <v>678</v>
      </c>
      <c r="D8" t="s">
        <v>644</v>
      </c>
      <c r="E8" t="s">
        <v>627</v>
      </c>
      <c r="F8" s="109">
        <v>8</v>
      </c>
      <c r="G8" s="109" t="s">
        <v>675</v>
      </c>
      <c r="H8" s="109" t="s">
        <v>627</v>
      </c>
      <c r="I8" s="109">
        <v>8800</v>
      </c>
      <c r="J8" s="109" t="s">
        <v>627</v>
      </c>
      <c r="K8" t="s">
        <v>627</v>
      </c>
      <c r="L8">
        <v>1</v>
      </c>
      <c r="M8" t="s">
        <v>677</v>
      </c>
      <c r="N8" s="109" t="s">
        <v>627</v>
      </c>
    </row>
    <row r="9" spans="1:14" hidden="1">
      <c r="A9" t="str">
        <f>Tabelle5[[#This Row],[Crop]]&amp;Tabelle5[[#This Row],[Activity]]&amp;Tabelle5[[#This Row],[ActivityTSF]]&amp;Tabelle5[[#This Row],[productCategory]]</f>
        <v>Bare arable landContact with treated soilNAherbicide</v>
      </c>
      <c r="B9" t="s">
        <v>679</v>
      </c>
      <c r="C9" t="s">
        <v>679</v>
      </c>
      <c r="D9" t="s">
        <v>626</v>
      </c>
      <c r="E9" t="s">
        <v>627</v>
      </c>
      <c r="F9" s="109">
        <v>8</v>
      </c>
      <c r="G9" s="109" t="s">
        <v>675</v>
      </c>
      <c r="H9" s="109" t="s">
        <v>627</v>
      </c>
      <c r="I9" s="109" t="s">
        <v>627</v>
      </c>
      <c r="J9" s="109" t="s">
        <v>627</v>
      </c>
      <c r="K9" t="s">
        <v>627</v>
      </c>
      <c r="L9">
        <v>1</v>
      </c>
      <c r="M9" t="s">
        <v>676</v>
      </c>
      <c r="N9" s="109" t="s">
        <v>627</v>
      </c>
    </row>
    <row r="10" spans="1:14" hidden="1">
      <c r="A10" t="str">
        <f>Tabelle5[[#This Row],[Crop]]&amp;Tabelle5[[#This Row],[Activity]]&amp;Tabelle5[[#This Row],[ActivityTSF]]&amp;Tabelle5[[#This Row],[productCategory]]</f>
        <v>Bare arable landContact with treated soilNAother</v>
      </c>
      <c r="B10" t="s">
        <v>679</v>
      </c>
      <c r="C10" t="s">
        <v>679</v>
      </c>
      <c r="D10" t="s">
        <v>626</v>
      </c>
      <c r="E10" t="s">
        <v>627</v>
      </c>
      <c r="F10" s="109">
        <v>8</v>
      </c>
      <c r="G10" s="109" t="s">
        <v>675</v>
      </c>
      <c r="H10" s="109" t="s">
        <v>627</v>
      </c>
      <c r="I10" s="109" t="s">
        <v>627</v>
      </c>
      <c r="J10" s="109" t="s">
        <v>627</v>
      </c>
      <c r="K10" t="s">
        <v>627</v>
      </c>
      <c r="L10">
        <v>1</v>
      </c>
      <c r="M10" t="s">
        <v>677</v>
      </c>
      <c r="N10" s="109" t="s">
        <v>627</v>
      </c>
    </row>
    <row r="11" spans="1:14" hidden="1">
      <c r="A11" t="str">
        <f>Tabelle5[[#This Row],[Crop]]&amp;Tabelle5[[#This Row],[Activity]]&amp;Tabelle5[[#This Row],[ActivityTSF]]&amp;Tabelle5[[#This Row],[productCategory]]</f>
        <v>Bare arable landInspection without contact with treated soilNAherbicide</v>
      </c>
      <c r="B11" t="s">
        <v>679</v>
      </c>
      <c r="C11" t="s">
        <v>679</v>
      </c>
      <c r="D11" t="s">
        <v>631</v>
      </c>
      <c r="E11" t="s">
        <v>627</v>
      </c>
      <c r="F11" s="109">
        <v>2</v>
      </c>
      <c r="G11" s="109" t="s">
        <v>675</v>
      </c>
      <c r="H11" s="109" t="s">
        <v>627</v>
      </c>
      <c r="I11" s="109" t="s">
        <v>627</v>
      </c>
      <c r="J11" s="109" t="s">
        <v>627</v>
      </c>
      <c r="K11" t="s">
        <v>627</v>
      </c>
      <c r="L11">
        <v>1</v>
      </c>
      <c r="M11" t="s">
        <v>676</v>
      </c>
      <c r="N11" s="109" t="s">
        <v>627</v>
      </c>
    </row>
    <row r="12" spans="1:14" hidden="1">
      <c r="A12" t="str">
        <f>Tabelle5[[#This Row],[Crop]]&amp;Tabelle5[[#This Row],[Activity]]&amp;Tabelle5[[#This Row],[ActivityTSF]]&amp;Tabelle5[[#This Row],[productCategory]]</f>
        <v>Bare arable landInspection without contact with treated soilNAother</v>
      </c>
      <c r="B12" t="s">
        <v>679</v>
      </c>
      <c r="C12" t="s">
        <v>679</v>
      </c>
      <c r="D12" t="s">
        <v>631</v>
      </c>
      <c r="E12" t="s">
        <v>627</v>
      </c>
      <c r="F12" s="109">
        <v>2</v>
      </c>
      <c r="G12" s="109" t="s">
        <v>675</v>
      </c>
      <c r="H12" s="109" t="s">
        <v>627</v>
      </c>
      <c r="I12" s="109" t="s">
        <v>627</v>
      </c>
      <c r="J12" s="109" t="s">
        <v>627</v>
      </c>
      <c r="K12" t="s">
        <v>627</v>
      </c>
      <c r="L12">
        <v>1</v>
      </c>
      <c r="M12" t="s">
        <v>677</v>
      </c>
      <c r="N12" s="109" t="s">
        <v>627</v>
      </c>
    </row>
    <row r="13" spans="1:14" hidden="1">
      <c r="A13" t="str">
        <f>Tabelle5[[#This Row],[Crop]]&amp;Tabelle5[[#This Row],[Activity]]&amp;Tabelle5[[#This Row],[ActivityTSF]]&amp;Tabelle5[[#This Row],[productCategory]]</f>
        <v>Bare non arable landNANAherbicide</v>
      </c>
      <c r="B13" t="s">
        <v>680</v>
      </c>
      <c r="C13" t="s">
        <v>680</v>
      </c>
      <c r="D13" t="s">
        <v>627</v>
      </c>
      <c r="E13" t="s">
        <v>627</v>
      </c>
      <c r="F13" s="109" t="s">
        <v>627</v>
      </c>
      <c r="G13" s="109" t="s">
        <v>627</v>
      </c>
      <c r="H13" s="109" t="s">
        <v>627</v>
      </c>
      <c r="I13" s="109" t="s">
        <v>627</v>
      </c>
      <c r="J13" s="109" t="s">
        <v>627</v>
      </c>
      <c r="K13" t="s">
        <v>627</v>
      </c>
      <c r="L13">
        <v>1</v>
      </c>
      <c r="M13" t="s">
        <v>676</v>
      </c>
      <c r="N13" s="109" t="s">
        <v>627</v>
      </c>
    </row>
    <row r="14" spans="1:14" hidden="1">
      <c r="A14" t="str">
        <f>Tabelle5[[#This Row],[Crop]]&amp;Tabelle5[[#This Row],[Activity]]&amp;Tabelle5[[#This Row],[ActivityTSF]]&amp;Tabelle5[[#This Row],[productCategory]]</f>
        <v>Bare non arable landNANAother</v>
      </c>
      <c r="B14" t="s">
        <v>680</v>
      </c>
      <c r="C14" t="s">
        <v>680</v>
      </c>
      <c r="D14" t="s">
        <v>627</v>
      </c>
      <c r="E14" t="s">
        <v>627</v>
      </c>
      <c r="F14" s="109" t="s">
        <v>627</v>
      </c>
      <c r="G14" t="s">
        <v>627</v>
      </c>
      <c r="H14" s="109" t="s">
        <v>627</v>
      </c>
      <c r="I14" s="109" t="s">
        <v>627</v>
      </c>
      <c r="J14" s="109" t="s">
        <v>627</v>
      </c>
      <c r="K14" t="s">
        <v>627</v>
      </c>
      <c r="L14">
        <v>1</v>
      </c>
      <c r="M14" t="s">
        <v>677</v>
      </c>
      <c r="N14" s="109" t="s">
        <v>627</v>
      </c>
    </row>
    <row r="15" spans="1:14" hidden="1">
      <c r="A15" t="str">
        <f>Tabelle5[[#This Row],[Crop]]&amp;Tabelle5[[#This Row],[Activity]]&amp;Tabelle5[[#This Row],[ActivityTSF]]&amp;Tabelle5[[#This Row],[productCategory]]</f>
        <v>Bare non arable land/railway trackNANAherbicide</v>
      </c>
      <c r="B15" t="s">
        <v>681</v>
      </c>
      <c r="C15" t="s">
        <v>681</v>
      </c>
      <c r="D15" t="s">
        <v>627</v>
      </c>
      <c r="E15" t="s">
        <v>627</v>
      </c>
      <c r="F15" s="109" t="s">
        <v>627</v>
      </c>
      <c r="G15" s="109" t="s">
        <v>627</v>
      </c>
      <c r="H15" s="109" t="s">
        <v>627</v>
      </c>
      <c r="I15" s="109" t="s">
        <v>627</v>
      </c>
      <c r="J15" s="109" t="s">
        <v>627</v>
      </c>
      <c r="K15" t="s">
        <v>627</v>
      </c>
      <c r="L15">
        <v>0</v>
      </c>
      <c r="M15" t="s">
        <v>676</v>
      </c>
      <c r="N15" s="109" t="s">
        <v>627</v>
      </c>
    </row>
    <row r="16" spans="1:14" hidden="1">
      <c r="A16" t="str">
        <f>Tabelle5[[#This Row],[Crop]]&amp;Tabelle5[[#This Row],[Activity]]&amp;Tabelle5[[#This Row],[ActivityTSF]]&amp;Tabelle5[[#This Row],[productCategory]]</f>
        <v>Bare non arable land/railway trackNANAother</v>
      </c>
      <c r="B16" t="s">
        <v>681</v>
      </c>
      <c r="C16" t="s">
        <v>681</v>
      </c>
      <c r="D16" t="s">
        <v>627</v>
      </c>
      <c r="E16" t="s">
        <v>627</v>
      </c>
      <c r="F16" s="109" t="s">
        <v>627</v>
      </c>
      <c r="G16" t="s">
        <v>627</v>
      </c>
      <c r="H16" s="109" t="s">
        <v>627</v>
      </c>
      <c r="I16" s="109" t="s">
        <v>627</v>
      </c>
      <c r="J16" s="109" t="s">
        <v>627</v>
      </c>
      <c r="K16" t="s">
        <v>627</v>
      </c>
      <c r="L16">
        <v>0</v>
      </c>
      <c r="M16" t="s">
        <v>677</v>
      </c>
      <c r="N16" s="109" t="s">
        <v>627</v>
      </c>
    </row>
    <row r="17" spans="1:14" hidden="1">
      <c r="A17" t="str">
        <f>Tabelle5[[#This Row],[Crop]]&amp;Tabelle5[[#This Row],[Activity]]&amp;Tabelle5[[#This Row],[ActivityTSF]]&amp;Tabelle5[[#This Row],[productCategory]]</f>
        <v>Cane fruit/High berriesInspection, irrigationGeneral maintenanceherbicide</v>
      </c>
      <c r="B17" t="s">
        <v>682</v>
      </c>
      <c r="C17" t="s">
        <v>674</v>
      </c>
      <c r="D17" t="s">
        <v>623</v>
      </c>
      <c r="E17" t="s">
        <v>651</v>
      </c>
      <c r="F17" s="109">
        <v>8</v>
      </c>
      <c r="G17" s="109" t="s">
        <v>675</v>
      </c>
      <c r="H17" s="109">
        <v>12500</v>
      </c>
      <c r="I17" s="109">
        <v>1400</v>
      </c>
      <c r="J17" s="109">
        <v>1250</v>
      </c>
      <c r="K17" t="s">
        <v>627</v>
      </c>
      <c r="L17">
        <v>1</v>
      </c>
      <c r="M17" t="s">
        <v>676</v>
      </c>
      <c r="N17" s="109">
        <v>0.01</v>
      </c>
    </row>
    <row r="18" spans="1:14" hidden="1">
      <c r="A18" t="str">
        <f>Tabelle5[[#This Row],[Crop]]&amp;Tabelle5[[#This Row],[Activity]]&amp;Tabelle5[[#This Row],[ActivityTSF]]&amp;Tabelle5[[#This Row],[productCategory]]</f>
        <v>Cane fruit/High berriesInspection, irrigationGeneral maintenanceother</v>
      </c>
      <c r="B18" t="s">
        <v>682</v>
      </c>
      <c r="C18" t="s">
        <v>674</v>
      </c>
      <c r="D18" t="s">
        <v>623</v>
      </c>
      <c r="E18" t="s">
        <v>651</v>
      </c>
      <c r="F18" s="109">
        <v>8</v>
      </c>
      <c r="G18" s="109" t="s">
        <v>675</v>
      </c>
      <c r="H18" s="109">
        <v>12500</v>
      </c>
      <c r="I18" s="109">
        <v>1400</v>
      </c>
      <c r="J18" s="109">
        <v>1250</v>
      </c>
      <c r="K18" t="s">
        <v>627</v>
      </c>
      <c r="L18">
        <v>1</v>
      </c>
      <c r="M18" t="s">
        <v>677</v>
      </c>
      <c r="N18" s="109">
        <v>0.01</v>
      </c>
    </row>
    <row r="19" spans="1:14" hidden="1">
      <c r="A19" t="str">
        <f>Tabelle5[[#This Row],[Crop]]&amp;Tabelle5[[#This Row],[Activity]]&amp;Tabelle5[[#This Row],[ActivityTSF]]&amp;Tabelle5[[#This Row],[productCategory]]</f>
        <v>Cane fruit/High berriesInspection, irrigationInspection, wateringherbicide</v>
      </c>
      <c r="B19" t="s">
        <v>682</v>
      </c>
      <c r="C19" t="s">
        <v>674</v>
      </c>
      <c r="D19" t="s">
        <v>623</v>
      </c>
      <c r="E19" t="s">
        <v>650</v>
      </c>
      <c r="F19" s="109">
        <v>2</v>
      </c>
      <c r="G19" s="109" t="s">
        <v>675</v>
      </c>
      <c r="H19" s="109">
        <v>12500</v>
      </c>
      <c r="I19" s="109">
        <v>1400</v>
      </c>
      <c r="J19" s="109">
        <v>1250</v>
      </c>
      <c r="K19" t="s">
        <v>627</v>
      </c>
      <c r="L19">
        <v>1</v>
      </c>
      <c r="M19" t="s">
        <v>676</v>
      </c>
      <c r="N19" s="109">
        <v>0.01</v>
      </c>
    </row>
    <row r="20" spans="1:14" hidden="1">
      <c r="A20" t="str">
        <f>Tabelle5[[#This Row],[Crop]]&amp;Tabelle5[[#This Row],[Activity]]&amp;Tabelle5[[#This Row],[ActivityTSF]]&amp;Tabelle5[[#This Row],[productCategory]]</f>
        <v>Cane fruit/High berriesInspection, irrigationInspection, wateringother</v>
      </c>
      <c r="B20" t="s">
        <v>682</v>
      </c>
      <c r="C20" t="s">
        <v>674</v>
      </c>
      <c r="D20" t="s">
        <v>623</v>
      </c>
      <c r="E20" t="s">
        <v>650</v>
      </c>
      <c r="F20" s="109">
        <v>2</v>
      </c>
      <c r="G20" s="109" t="s">
        <v>675</v>
      </c>
      <c r="H20" s="109">
        <v>12500</v>
      </c>
      <c r="I20" s="109">
        <v>1400</v>
      </c>
      <c r="J20" s="109">
        <v>1250</v>
      </c>
      <c r="K20" t="s">
        <v>627</v>
      </c>
      <c r="L20">
        <v>1</v>
      </c>
      <c r="M20" t="s">
        <v>677</v>
      </c>
      <c r="N20" s="109">
        <v>0.01</v>
      </c>
    </row>
    <row r="21" spans="1:14" hidden="1">
      <c r="A21" t="str">
        <f>Tabelle5[[#This Row],[Crop]]&amp;Tabelle5[[#This Row],[Activity]]&amp;Tabelle5[[#This Row],[ActivityTSF]]&amp;Tabelle5[[#This Row],[productCategory]]</f>
        <v>Cane fruit/High berriesInspection, irrigationNAherbicide</v>
      </c>
      <c r="B21" t="s">
        <v>682</v>
      </c>
      <c r="C21" t="s">
        <v>674</v>
      </c>
      <c r="D21" t="s">
        <v>623</v>
      </c>
      <c r="E21" t="s">
        <v>627</v>
      </c>
      <c r="F21" s="109">
        <v>2</v>
      </c>
      <c r="G21" s="109" t="s">
        <v>675</v>
      </c>
      <c r="H21" s="109">
        <v>12500</v>
      </c>
      <c r="I21" s="109">
        <v>1400</v>
      </c>
      <c r="J21" s="109">
        <v>1250</v>
      </c>
      <c r="K21" t="s">
        <v>627</v>
      </c>
      <c r="L21">
        <v>1</v>
      </c>
      <c r="M21" t="s">
        <v>676</v>
      </c>
      <c r="N21" s="109" t="s">
        <v>627</v>
      </c>
    </row>
    <row r="22" spans="1:14" hidden="1">
      <c r="A22" t="str">
        <f>Tabelle5[[#This Row],[Crop]]&amp;Tabelle5[[#This Row],[Activity]]&amp;Tabelle5[[#This Row],[ActivityTSF]]&amp;Tabelle5[[#This Row],[productCategory]]</f>
        <v>Cane fruit/High berriesInspection, irrigationNAother</v>
      </c>
      <c r="B22" t="s">
        <v>682</v>
      </c>
      <c r="C22" t="s">
        <v>674</v>
      </c>
      <c r="D22" t="s">
        <v>623</v>
      </c>
      <c r="E22" t="s">
        <v>627</v>
      </c>
      <c r="F22" s="109">
        <v>2</v>
      </c>
      <c r="G22" s="109" t="s">
        <v>675</v>
      </c>
      <c r="H22" s="109">
        <v>12500</v>
      </c>
      <c r="I22" s="109">
        <v>1400</v>
      </c>
      <c r="J22" s="109">
        <v>1250</v>
      </c>
      <c r="K22" t="s">
        <v>627</v>
      </c>
      <c r="L22">
        <v>1</v>
      </c>
      <c r="M22" t="s">
        <v>677</v>
      </c>
      <c r="N22" s="109" t="s">
        <v>627</v>
      </c>
    </row>
    <row r="23" spans="1:14" hidden="1">
      <c r="A23" t="str">
        <f>Tabelle5[[#This Row],[Crop]]&amp;Tabelle5[[#This Row],[Activity]]&amp;Tabelle5[[#This Row],[ActivityTSF]]&amp;Tabelle5[[#This Row],[productCategory]]</f>
        <v>Cane fruit/High berriesMaintenance/thinningGeneral maintenanceherbicide</v>
      </c>
      <c r="B23" t="s">
        <v>682</v>
      </c>
      <c r="C23" t="s">
        <v>616</v>
      </c>
      <c r="D23" t="s">
        <v>625</v>
      </c>
      <c r="E23" t="s">
        <v>651</v>
      </c>
      <c r="F23" s="109">
        <v>8</v>
      </c>
      <c r="G23" s="109" t="s">
        <v>675</v>
      </c>
      <c r="H23" s="109">
        <v>12500</v>
      </c>
      <c r="I23" s="109">
        <v>1400</v>
      </c>
      <c r="J23" s="109">
        <v>1250</v>
      </c>
      <c r="K23" t="s">
        <v>627</v>
      </c>
      <c r="L23">
        <v>1</v>
      </c>
      <c r="M23" t="s">
        <v>676</v>
      </c>
      <c r="N23" s="109">
        <v>0.01</v>
      </c>
    </row>
    <row r="24" spans="1:14" hidden="1">
      <c r="A24" t="str">
        <f>Tabelle5[[#This Row],[Crop]]&amp;Tabelle5[[#This Row],[Activity]]&amp;Tabelle5[[#This Row],[ActivityTSF]]&amp;Tabelle5[[#This Row],[productCategory]]</f>
        <v>Cane fruit/High berriesMaintenance/thinningGeneral maintenanceother</v>
      </c>
      <c r="B24" t="s">
        <v>682</v>
      </c>
      <c r="C24" t="s">
        <v>616</v>
      </c>
      <c r="D24" t="s">
        <v>625</v>
      </c>
      <c r="E24" t="s">
        <v>651</v>
      </c>
      <c r="F24" s="109">
        <v>8</v>
      </c>
      <c r="G24" s="109" t="s">
        <v>675</v>
      </c>
      <c r="H24" s="109">
        <v>22500</v>
      </c>
      <c r="I24" s="109">
        <v>4500</v>
      </c>
      <c r="J24" s="109">
        <v>2250</v>
      </c>
      <c r="K24" t="s">
        <v>627</v>
      </c>
      <c r="L24">
        <v>1</v>
      </c>
      <c r="M24" t="s">
        <v>677</v>
      </c>
      <c r="N24" s="109">
        <v>0.1</v>
      </c>
    </row>
    <row r="25" spans="1:14" hidden="1">
      <c r="A25" t="str">
        <f>Tabelle5[[#This Row],[Crop]]&amp;Tabelle5[[#This Row],[Activity]]&amp;Tabelle5[[#This Row],[ActivityTSF]]&amp;Tabelle5[[#This Row],[productCategory]]</f>
        <v>Cane fruit/High berriesMaintenance/thinningNAherbicide</v>
      </c>
      <c r="B25" t="s">
        <v>682</v>
      </c>
      <c r="C25" t="s">
        <v>616</v>
      </c>
      <c r="D25" t="s">
        <v>625</v>
      </c>
      <c r="E25" t="s">
        <v>627</v>
      </c>
      <c r="F25" s="109">
        <v>8</v>
      </c>
      <c r="G25" s="109" t="s">
        <v>675</v>
      </c>
      <c r="H25" s="109">
        <v>12500</v>
      </c>
      <c r="I25" s="109">
        <v>1400</v>
      </c>
      <c r="J25" s="109">
        <v>1250</v>
      </c>
      <c r="K25" t="s">
        <v>627</v>
      </c>
      <c r="L25">
        <v>1</v>
      </c>
      <c r="M25" t="s">
        <v>676</v>
      </c>
      <c r="N25" s="109" t="s">
        <v>627</v>
      </c>
    </row>
    <row r="26" spans="1:14" hidden="1">
      <c r="A26" t="str">
        <f>Tabelle5[[#This Row],[Crop]]&amp;Tabelle5[[#This Row],[Activity]]&amp;Tabelle5[[#This Row],[ActivityTSF]]&amp;Tabelle5[[#This Row],[productCategory]]</f>
        <v>Cane fruit/High berriesMaintenance/thinningNAother</v>
      </c>
      <c r="B26" t="s">
        <v>682</v>
      </c>
      <c r="C26" t="s">
        <v>616</v>
      </c>
      <c r="D26" t="s">
        <v>625</v>
      </c>
      <c r="E26" t="s">
        <v>627</v>
      </c>
      <c r="F26" s="109">
        <v>8</v>
      </c>
      <c r="G26" s="109" t="s">
        <v>675</v>
      </c>
      <c r="H26" s="109">
        <v>22500</v>
      </c>
      <c r="I26" s="109">
        <v>4500</v>
      </c>
      <c r="J26" s="109">
        <v>2250</v>
      </c>
      <c r="K26" t="s">
        <v>627</v>
      </c>
      <c r="L26">
        <v>1</v>
      </c>
      <c r="M26" t="s">
        <v>677</v>
      </c>
      <c r="N26" s="109" t="s">
        <v>627</v>
      </c>
    </row>
    <row r="27" spans="1:14" hidden="1">
      <c r="A27" t="str">
        <f>Tabelle5[[#This Row],[Crop]]&amp;Tabelle5[[#This Row],[Activity]]&amp;Tabelle5[[#This Row],[ActivityTSF]]&amp;Tabelle5[[#This Row],[productCategory]]</f>
        <v>Cane fruit/High berriesSearching, reaching, pickingHarvesting, including cutting and bundlingherbicide</v>
      </c>
      <c r="B27" t="s">
        <v>682</v>
      </c>
      <c r="C27" t="s">
        <v>616</v>
      </c>
      <c r="D27" t="s">
        <v>632</v>
      </c>
      <c r="E27" t="s">
        <v>652</v>
      </c>
      <c r="F27" s="109">
        <v>8</v>
      </c>
      <c r="G27" s="109" t="s">
        <v>675</v>
      </c>
      <c r="H27" s="109">
        <v>12500</v>
      </c>
      <c r="I27" s="109">
        <v>1400</v>
      </c>
      <c r="J27" s="109">
        <v>1250</v>
      </c>
      <c r="K27" t="s">
        <v>627</v>
      </c>
      <c r="L27">
        <v>1</v>
      </c>
      <c r="M27" t="s">
        <v>676</v>
      </c>
      <c r="N27" s="109">
        <v>0.01</v>
      </c>
    </row>
    <row r="28" spans="1:14" hidden="1">
      <c r="A28" t="str">
        <f>Tabelle5[[#This Row],[Crop]]&amp;Tabelle5[[#This Row],[Activity]]&amp;Tabelle5[[#This Row],[ActivityTSF]]&amp;Tabelle5[[#This Row],[productCategory]]</f>
        <v>Cane fruit/High berriesSearching, reaching, pickingNAherbicide</v>
      </c>
      <c r="B28" t="s">
        <v>682</v>
      </c>
      <c r="C28" t="s">
        <v>616</v>
      </c>
      <c r="D28" t="s">
        <v>632</v>
      </c>
      <c r="E28" t="s">
        <v>627</v>
      </c>
      <c r="F28" s="109">
        <v>8</v>
      </c>
      <c r="G28" s="109" t="s">
        <v>675</v>
      </c>
      <c r="H28" s="109">
        <v>12500</v>
      </c>
      <c r="I28" s="109">
        <v>1400</v>
      </c>
      <c r="J28" s="109">
        <v>1250</v>
      </c>
      <c r="K28" t="s">
        <v>627</v>
      </c>
      <c r="L28">
        <v>1</v>
      </c>
      <c r="M28" t="s">
        <v>676</v>
      </c>
      <c r="N28" s="109" t="s">
        <v>627</v>
      </c>
    </row>
    <row r="29" spans="1:14" hidden="1">
      <c r="A29" t="str">
        <f>Tabelle5[[#This Row],[Crop]]&amp;Tabelle5[[#This Row],[Activity]]&amp;Tabelle5[[#This Row],[ActivityTSF]]&amp;Tabelle5[[#This Row],[productCategory]]</f>
        <v>Cane fruit/High berriesSearching, reaching, pickingHarvesting, including cutting and bundlingother</v>
      </c>
      <c r="B29" t="s">
        <v>682</v>
      </c>
      <c r="C29" t="s">
        <v>616</v>
      </c>
      <c r="D29" t="s">
        <v>632</v>
      </c>
      <c r="E29" t="s">
        <v>652</v>
      </c>
      <c r="F29" s="109">
        <v>8</v>
      </c>
      <c r="G29" s="109" t="s">
        <v>675</v>
      </c>
      <c r="H29" s="109">
        <v>12500</v>
      </c>
      <c r="I29" s="109">
        <v>3500</v>
      </c>
      <c r="J29" s="109">
        <v>1250</v>
      </c>
      <c r="K29" t="s">
        <v>627</v>
      </c>
      <c r="L29">
        <v>1</v>
      </c>
      <c r="M29" t="s">
        <v>677</v>
      </c>
      <c r="N29" s="109">
        <v>0.1</v>
      </c>
    </row>
    <row r="30" spans="1:14" hidden="1">
      <c r="A30" t="str">
        <f>Tabelle5[[#This Row],[Crop]]&amp;Tabelle5[[#This Row],[Activity]]&amp;Tabelle5[[#This Row],[ActivityTSF]]&amp;Tabelle5[[#This Row],[productCategory]]</f>
        <v>Cane fruit/High berriesSearching, reaching, pickingNAother</v>
      </c>
      <c r="B30" t="s">
        <v>682</v>
      </c>
      <c r="C30" t="s">
        <v>616</v>
      </c>
      <c r="D30" t="s">
        <v>632</v>
      </c>
      <c r="E30" t="s">
        <v>627</v>
      </c>
      <c r="F30" s="109">
        <v>8</v>
      </c>
      <c r="G30" s="109" t="s">
        <v>675</v>
      </c>
      <c r="H30" s="109">
        <v>12500</v>
      </c>
      <c r="I30" s="109">
        <v>3500</v>
      </c>
      <c r="J30" s="109">
        <v>1250</v>
      </c>
      <c r="K30" t="s">
        <v>627</v>
      </c>
      <c r="L30">
        <v>1</v>
      </c>
      <c r="M30" t="s">
        <v>677</v>
      </c>
      <c r="N30" s="109" t="s">
        <v>627</v>
      </c>
    </row>
    <row r="31" spans="1:14" hidden="1">
      <c r="A31" t="str">
        <f>Tabelle5[[#This Row],[Crop]]&amp;Tabelle5[[#This Row],[Activity]]&amp;Tabelle5[[#This Row],[ActivityTSF]]&amp;Tabelle5[[#This Row],[productCategory]]</f>
        <v>CitrusSearching, reaching, pickingNAherbicide</v>
      </c>
      <c r="B31" t="s">
        <v>617</v>
      </c>
      <c r="C31" t="s">
        <v>617</v>
      </c>
      <c r="D31" t="s">
        <v>632</v>
      </c>
      <c r="E31" t="s">
        <v>627</v>
      </c>
      <c r="F31" s="109">
        <v>8</v>
      </c>
      <c r="G31" s="109" t="s">
        <v>675</v>
      </c>
      <c r="H31" s="109">
        <v>12500</v>
      </c>
      <c r="I31" s="109">
        <v>1400</v>
      </c>
      <c r="J31" s="109">
        <v>1250</v>
      </c>
      <c r="K31" t="s">
        <v>627</v>
      </c>
      <c r="L31">
        <v>1</v>
      </c>
      <c r="M31" t="s">
        <v>676</v>
      </c>
      <c r="N31" s="109" t="s">
        <v>627</v>
      </c>
    </row>
    <row r="32" spans="1:14" hidden="1">
      <c r="A32" t="str">
        <f>Tabelle5[[#This Row],[Crop]]&amp;Tabelle5[[#This Row],[Activity]]&amp;Tabelle5[[#This Row],[ActivityTSF]]&amp;Tabelle5[[#This Row],[productCategory]]</f>
        <v>CitrusInspection, irrigationNAherbicide</v>
      </c>
      <c r="B32" t="s">
        <v>617</v>
      </c>
      <c r="C32" t="s">
        <v>674</v>
      </c>
      <c r="D32" t="s">
        <v>623</v>
      </c>
      <c r="E32" t="s">
        <v>627</v>
      </c>
      <c r="F32" s="109">
        <v>2</v>
      </c>
      <c r="G32" s="109" t="s">
        <v>675</v>
      </c>
      <c r="H32" s="109">
        <v>12500</v>
      </c>
      <c r="I32" s="109">
        <v>1400</v>
      </c>
      <c r="J32" s="109">
        <v>1250</v>
      </c>
      <c r="K32" t="s">
        <v>627</v>
      </c>
      <c r="L32">
        <v>1</v>
      </c>
      <c r="M32" t="s">
        <v>676</v>
      </c>
      <c r="N32" s="109" t="s">
        <v>627</v>
      </c>
    </row>
    <row r="33" spans="1:14" hidden="1">
      <c r="A33" t="str">
        <f>Tabelle5[[#This Row],[Crop]]&amp;Tabelle5[[#This Row],[Activity]]&amp;Tabelle5[[#This Row],[ActivityTSF]]&amp;Tabelle5[[#This Row],[productCategory]]</f>
        <v>CitrusInspection, irrigationNAother</v>
      </c>
      <c r="B33" t="s">
        <v>617</v>
      </c>
      <c r="C33" t="s">
        <v>674</v>
      </c>
      <c r="D33" t="s">
        <v>623</v>
      </c>
      <c r="E33" t="s">
        <v>627</v>
      </c>
      <c r="F33" s="109">
        <v>2</v>
      </c>
      <c r="G33" s="109" t="s">
        <v>675</v>
      </c>
      <c r="H33" s="109">
        <v>12500</v>
      </c>
      <c r="I33" s="109">
        <v>1400</v>
      </c>
      <c r="J33" s="109">
        <v>1250</v>
      </c>
      <c r="K33" t="s">
        <v>627</v>
      </c>
      <c r="L33">
        <v>1</v>
      </c>
      <c r="M33" t="s">
        <v>677</v>
      </c>
      <c r="N33" s="109" t="s">
        <v>627</v>
      </c>
    </row>
    <row r="34" spans="1:14" hidden="1">
      <c r="A34" t="str">
        <f>Tabelle5[[#This Row],[Crop]]&amp;Tabelle5[[#This Row],[Activity]]&amp;Tabelle5[[#This Row],[ActivityTSF]]&amp;Tabelle5[[#This Row],[productCategory]]</f>
        <v>CitrusMaintenance/thinningNAherbicide</v>
      </c>
      <c r="B34" t="s">
        <v>617</v>
      </c>
      <c r="C34" t="s">
        <v>617</v>
      </c>
      <c r="D34" t="s">
        <v>625</v>
      </c>
      <c r="E34" t="s">
        <v>627</v>
      </c>
      <c r="F34" s="109">
        <v>8</v>
      </c>
      <c r="G34" s="109" t="s">
        <v>675</v>
      </c>
      <c r="H34" s="109">
        <v>12500</v>
      </c>
      <c r="I34" s="109">
        <v>1400</v>
      </c>
      <c r="J34" s="109">
        <v>1250</v>
      </c>
      <c r="K34" t="s">
        <v>627</v>
      </c>
      <c r="L34">
        <v>1</v>
      </c>
      <c r="M34" t="s">
        <v>676</v>
      </c>
      <c r="N34" s="109" t="s">
        <v>627</v>
      </c>
    </row>
    <row r="35" spans="1:14" hidden="1">
      <c r="A35" t="str">
        <f>Tabelle5[[#This Row],[Crop]]&amp;Tabelle5[[#This Row],[Activity]]&amp;Tabelle5[[#This Row],[ActivityTSF]]&amp;Tabelle5[[#This Row],[productCategory]]</f>
        <v>CitrusMaintenance/thinningNAother</v>
      </c>
      <c r="B35" t="s">
        <v>617</v>
      </c>
      <c r="C35" t="s">
        <v>617</v>
      </c>
      <c r="D35" t="s">
        <v>625</v>
      </c>
      <c r="E35" t="s">
        <v>627</v>
      </c>
      <c r="F35" s="109">
        <v>8</v>
      </c>
      <c r="G35" s="109" t="s">
        <v>675</v>
      </c>
      <c r="H35" s="109">
        <v>22500</v>
      </c>
      <c r="I35" s="109">
        <v>4500</v>
      </c>
      <c r="J35" s="109">
        <v>2250</v>
      </c>
      <c r="K35" t="s">
        <v>627</v>
      </c>
      <c r="L35">
        <v>1</v>
      </c>
      <c r="M35" t="s">
        <v>677</v>
      </c>
      <c r="N35" s="109" t="s">
        <v>627</v>
      </c>
    </row>
    <row r="36" spans="1:14" hidden="1">
      <c r="A36" t="str">
        <f>Tabelle5[[#This Row],[Crop]]&amp;Tabelle5[[#This Row],[Activity]]&amp;Tabelle5[[#This Row],[ActivityTSF]]&amp;Tabelle5[[#This Row],[productCategory]]</f>
        <v>CitrusSearching, reaching, pickingNAother</v>
      </c>
      <c r="B36" t="s">
        <v>617</v>
      </c>
      <c r="C36" t="s">
        <v>617</v>
      </c>
      <c r="D36" t="s">
        <v>632</v>
      </c>
      <c r="E36" t="s">
        <v>627</v>
      </c>
      <c r="F36" s="109">
        <v>8</v>
      </c>
      <c r="G36" s="109" t="s">
        <v>675</v>
      </c>
      <c r="H36" s="109">
        <v>12500</v>
      </c>
      <c r="I36" s="109">
        <v>3500</v>
      </c>
      <c r="J36" s="109">
        <v>1250</v>
      </c>
      <c r="K36" t="s">
        <v>627</v>
      </c>
      <c r="L36">
        <v>1</v>
      </c>
      <c r="M36" t="s">
        <v>677</v>
      </c>
      <c r="N36" s="109" t="s">
        <v>627</v>
      </c>
    </row>
    <row r="37" spans="1:14" hidden="1">
      <c r="A37" t="str">
        <f>Tabelle5[[#This Row],[Crop]]&amp;Tabelle5[[#This Row],[Activity]]&amp;Tabelle5[[#This Row],[ActivityTSF]]&amp;Tabelle5[[#This Row],[productCategory]]</f>
        <v>Field cropsHand harvesting (sweetcorn)NAherbicide</v>
      </c>
      <c r="B37" t="s">
        <v>683</v>
      </c>
      <c r="C37" t="s">
        <v>683</v>
      </c>
      <c r="D37" t="s">
        <v>629</v>
      </c>
      <c r="E37" t="s">
        <v>627</v>
      </c>
      <c r="F37" s="109">
        <v>8</v>
      </c>
      <c r="G37" s="109" t="s">
        <v>675</v>
      </c>
      <c r="H37" s="109" t="s">
        <v>627</v>
      </c>
      <c r="I37" s="109">
        <v>23000</v>
      </c>
      <c r="J37" s="109" t="s">
        <v>627</v>
      </c>
      <c r="K37" t="s">
        <v>627</v>
      </c>
      <c r="L37">
        <v>1</v>
      </c>
      <c r="M37" t="s">
        <v>676</v>
      </c>
      <c r="N37" s="109" t="s">
        <v>627</v>
      </c>
    </row>
    <row r="38" spans="1:14" hidden="1">
      <c r="A38" t="str">
        <f>Tabelle5[[#This Row],[Crop]]&amp;Tabelle5[[#This Row],[Activity]]&amp;Tabelle5[[#This Row],[ActivityTSF]]&amp;Tabelle5[[#This Row],[productCategory]]</f>
        <v>Field cropsHand harvesting (sweetcorn)NAother</v>
      </c>
      <c r="B38" t="s">
        <v>683</v>
      </c>
      <c r="C38" t="s">
        <v>683</v>
      </c>
      <c r="D38" t="s">
        <v>629</v>
      </c>
      <c r="E38" t="s">
        <v>627</v>
      </c>
      <c r="F38" s="109">
        <v>8</v>
      </c>
      <c r="G38" s="109" t="s">
        <v>675</v>
      </c>
      <c r="H38" s="109" t="s">
        <v>627</v>
      </c>
      <c r="I38" s="109">
        <v>23000</v>
      </c>
      <c r="J38" s="109" t="s">
        <v>627</v>
      </c>
      <c r="K38" t="s">
        <v>627</v>
      </c>
      <c r="L38">
        <v>1</v>
      </c>
      <c r="M38" t="s">
        <v>677</v>
      </c>
      <c r="N38" s="109" t="s">
        <v>627</v>
      </c>
    </row>
    <row r="39" spans="1:14" hidden="1">
      <c r="A39" t="str">
        <f>Tabelle5[[#This Row],[Crop]]&amp;Tabelle5[[#This Row],[Activity]]&amp;Tabelle5[[#This Row],[ActivityTSF]]&amp;Tabelle5[[#This Row],[productCategory]]</f>
        <v>Field cropsInspection, irrigationNAherbicide</v>
      </c>
      <c r="B39" t="s">
        <v>683</v>
      </c>
      <c r="C39" t="s">
        <v>674</v>
      </c>
      <c r="D39" t="s">
        <v>623</v>
      </c>
      <c r="E39" t="s">
        <v>627</v>
      </c>
      <c r="F39" s="109">
        <v>2</v>
      </c>
      <c r="G39" s="109" t="s">
        <v>675</v>
      </c>
      <c r="H39" s="109">
        <v>12500</v>
      </c>
      <c r="I39" s="109">
        <v>1400</v>
      </c>
      <c r="J39" s="109">
        <v>1250</v>
      </c>
      <c r="K39" t="s">
        <v>627</v>
      </c>
      <c r="L39">
        <v>1</v>
      </c>
      <c r="M39" t="s">
        <v>676</v>
      </c>
      <c r="N39" s="109" t="s">
        <v>627</v>
      </c>
    </row>
    <row r="40" spans="1:14" hidden="1">
      <c r="A40" t="str">
        <f>Tabelle5[[#This Row],[Crop]]&amp;Tabelle5[[#This Row],[Activity]]&amp;Tabelle5[[#This Row],[ActivityTSF]]&amp;Tabelle5[[#This Row],[productCategory]]</f>
        <v>Field cropsInspection, irrigationNAother</v>
      </c>
      <c r="B40" t="s">
        <v>683</v>
      </c>
      <c r="C40" t="s">
        <v>674</v>
      </c>
      <c r="D40" t="s">
        <v>623</v>
      </c>
      <c r="E40" t="s">
        <v>627</v>
      </c>
      <c r="F40" s="109">
        <v>2</v>
      </c>
      <c r="G40" s="109" t="s">
        <v>675</v>
      </c>
      <c r="H40" s="109">
        <v>12500</v>
      </c>
      <c r="I40" s="109">
        <v>1400</v>
      </c>
      <c r="J40" s="109">
        <v>1250</v>
      </c>
      <c r="K40" t="s">
        <v>627</v>
      </c>
      <c r="L40">
        <v>1</v>
      </c>
      <c r="M40" t="s">
        <v>677</v>
      </c>
      <c r="N40" s="109" t="s">
        <v>627</v>
      </c>
    </row>
    <row r="41" spans="1:14">
      <c r="A41" t="str">
        <f>Tabelle5[[#This Row],[Crop]]&amp;Tabelle5[[#This Row],[Activity]]&amp;Tabelle5[[#This Row],[ActivityTSF]]&amp;Tabelle5[[#This Row],[productCategory]]</f>
        <v>High ornamentalsCutting, sorting, bundling, carryingHarvesting, including cutting and bundlingherbicide</v>
      </c>
      <c r="B41" t="s">
        <v>684</v>
      </c>
      <c r="C41" t="s">
        <v>685</v>
      </c>
      <c r="D41" t="s">
        <v>643</v>
      </c>
      <c r="E41" t="s">
        <v>652</v>
      </c>
      <c r="F41" s="109">
        <v>8</v>
      </c>
      <c r="G41" s="109" t="s">
        <v>675</v>
      </c>
      <c r="H41" s="109">
        <v>12500</v>
      </c>
      <c r="I41" s="109">
        <v>1400</v>
      </c>
      <c r="J41" s="109">
        <v>1400</v>
      </c>
      <c r="K41" t="s">
        <v>627</v>
      </c>
      <c r="L41">
        <v>1</v>
      </c>
      <c r="M41" t="s">
        <v>676</v>
      </c>
      <c r="N41" s="109">
        <v>0.01</v>
      </c>
    </row>
    <row r="42" spans="1:14">
      <c r="A42" t="str">
        <f>Tabelle5[[#This Row],[Crop]]&amp;Tabelle5[[#This Row],[Activity]]&amp;Tabelle5[[#This Row],[ActivityTSF]]&amp;Tabelle5[[#This Row],[productCategory]]</f>
        <v>High ornamentalsCutting, sorting, bundling, carryingHarvesting, including cutting and bundlingother</v>
      </c>
      <c r="B42" t="s">
        <v>684</v>
      </c>
      <c r="C42" t="s">
        <v>685</v>
      </c>
      <c r="D42" t="s">
        <v>643</v>
      </c>
      <c r="E42" t="s">
        <v>652</v>
      </c>
      <c r="F42" s="109">
        <v>8</v>
      </c>
      <c r="G42" s="109" t="s">
        <v>675</v>
      </c>
      <c r="H42" s="109">
        <v>14000</v>
      </c>
      <c r="I42" s="109">
        <v>5000</v>
      </c>
      <c r="J42" s="109">
        <v>1400</v>
      </c>
      <c r="K42" t="s">
        <v>627</v>
      </c>
      <c r="L42">
        <v>1</v>
      </c>
      <c r="M42" t="s">
        <v>677</v>
      </c>
      <c r="N42" s="109">
        <v>0.1</v>
      </c>
    </row>
    <row r="43" spans="1:14">
      <c r="A43" t="str">
        <f>Tabelle5[[#This Row],[Crop]]&amp;Tabelle5[[#This Row],[Activity]]&amp;Tabelle5[[#This Row],[ActivityTSF]]&amp;Tabelle5[[#This Row],[productCategory]]</f>
        <v>High ornamentalsCutting, sorting, bundling, carryingNAherbicide</v>
      </c>
      <c r="B43" t="s">
        <v>684</v>
      </c>
      <c r="C43" t="s">
        <v>685</v>
      </c>
      <c r="D43" t="s">
        <v>643</v>
      </c>
      <c r="E43" t="s">
        <v>627</v>
      </c>
      <c r="F43" s="109">
        <v>8</v>
      </c>
      <c r="G43" s="109" t="s">
        <v>675</v>
      </c>
      <c r="H43" s="109">
        <v>12500</v>
      </c>
      <c r="I43" s="109">
        <v>1400</v>
      </c>
      <c r="J43" s="109">
        <v>1400</v>
      </c>
      <c r="K43" t="s">
        <v>627</v>
      </c>
      <c r="L43">
        <v>1</v>
      </c>
      <c r="M43" t="s">
        <v>676</v>
      </c>
      <c r="N43" s="109" t="s">
        <v>627</v>
      </c>
    </row>
    <row r="44" spans="1:14">
      <c r="A44" t="str">
        <f>Tabelle5[[#This Row],[Crop]]&amp;Tabelle5[[#This Row],[Activity]]&amp;Tabelle5[[#This Row],[ActivityTSF]]&amp;Tabelle5[[#This Row],[productCategory]]</f>
        <v>High ornamentalsCutting, sorting, bundling, carryingNAother</v>
      </c>
      <c r="B44" t="s">
        <v>684</v>
      </c>
      <c r="C44" t="s">
        <v>685</v>
      </c>
      <c r="D44" t="s">
        <v>643</v>
      </c>
      <c r="E44" t="s">
        <v>627</v>
      </c>
      <c r="F44" s="109">
        <v>8</v>
      </c>
      <c r="G44" s="109" t="s">
        <v>675</v>
      </c>
      <c r="H44" s="109">
        <v>14000</v>
      </c>
      <c r="I44" s="109">
        <v>5000</v>
      </c>
      <c r="J44" s="109">
        <v>1400</v>
      </c>
      <c r="K44" t="s">
        <v>627</v>
      </c>
      <c r="L44">
        <v>1</v>
      </c>
      <c r="M44" t="s">
        <v>677</v>
      </c>
      <c r="N44" s="109" t="s">
        <v>627</v>
      </c>
    </row>
    <row r="45" spans="1:14">
      <c r="A45" t="str">
        <f>Tabelle5[[#This Row],[Crop]]&amp;Tabelle5[[#This Row],[Activity]]&amp;Tabelle5[[#This Row],[ActivityTSF]]&amp;Tabelle5[[#This Row],[productCategory]]</f>
        <v>High ornamentalsInspection, irrigationNAherbicide</v>
      </c>
      <c r="B45" t="s">
        <v>684</v>
      </c>
      <c r="C45" t="s">
        <v>674</v>
      </c>
      <c r="D45" t="s">
        <v>623</v>
      </c>
      <c r="E45" t="s">
        <v>627</v>
      </c>
      <c r="F45" s="109">
        <v>2</v>
      </c>
      <c r="G45" s="109" t="s">
        <v>675</v>
      </c>
      <c r="H45" s="109">
        <v>12500</v>
      </c>
      <c r="I45" s="109">
        <v>1400</v>
      </c>
      <c r="J45" s="109">
        <v>1250</v>
      </c>
      <c r="K45" t="s">
        <v>627</v>
      </c>
      <c r="L45">
        <v>1</v>
      </c>
      <c r="M45" t="s">
        <v>676</v>
      </c>
      <c r="N45" s="109" t="s">
        <v>627</v>
      </c>
    </row>
    <row r="46" spans="1:14">
      <c r="A46" t="str">
        <f>Tabelle5[[#This Row],[Crop]]&amp;Tabelle5[[#This Row],[Activity]]&amp;Tabelle5[[#This Row],[ActivityTSF]]&amp;Tabelle5[[#This Row],[productCategory]]</f>
        <v>High ornamentalsInspection, irrigationNAother</v>
      </c>
      <c r="B46" t="s">
        <v>684</v>
      </c>
      <c r="C46" t="s">
        <v>674</v>
      </c>
      <c r="D46" t="s">
        <v>623</v>
      </c>
      <c r="E46" t="s">
        <v>627</v>
      </c>
      <c r="F46" s="109">
        <v>2</v>
      </c>
      <c r="G46" s="109" t="s">
        <v>675</v>
      </c>
      <c r="H46" s="109">
        <v>12500</v>
      </c>
      <c r="I46" s="109">
        <v>1400</v>
      </c>
      <c r="J46" s="109">
        <v>1250</v>
      </c>
      <c r="K46" t="s">
        <v>627</v>
      </c>
      <c r="L46">
        <v>1</v>
      </c>
      <c r="M46" t="s">
        <v>677</v>
      </c>
      <c r="N46" s="109" t="s">
        <v>627</v>
      </c>
    </row>
    <row r="47" spans="1:14">
      <c r="A47" t="str">
        <f>Tabelle5[[#This Row],[Crop]]&amp;Tabelle5[[#This Row],[Activity]]&amp;Tabelle5[[#This Row],[ActivityTSF]]&amp;Tabelle5[[#This Row],[productCategory]]</f>
        <v>High ornamentalsInspection, irrigationGeneral maintenanceherbicide</v>
      </c>
      <c r="B47" t="s">
        <v>684</v>
      </c>
      <c r="C47" t="s">
        <v>674</v>
      </c>
      <c r="D47" t="s">
        <v>623</v>
      </c>
      <c r="E47" t="s">
        <v>651</v>
      </c>
      <c r="F47" s="109">
        <v>8</v>
      </c>
      <c r="G47" s="109" t="s">
        <v>675</v>
      </c>
      <c r="H47" s="109">
        <v>12500</v>
      </c>
      <c r="I47" s="109">
        <v>1400</v>
      </c>
      <c r="J47" s="109">
        <v>1250</v>
      </c>
      <c r="K47" t="s">
        <v>627</v>
      </c>
      <c r="L47">
        <v>1</v>
      </c>
      <c r="M47" t="s">
        <v>676</v>
      </c>
      <c r="N47" s="109">
        <v>0.01</v>
      </c>
    </row>
    <row r="48" spans="1:14">
      <c r="A48" t="str">
        <f>Tabelle5[[#This Row],[Crop]]&amp;Tabelle5[[#This Row],[Activity]]&amp;Tabelle5[[#This Row],[ActivityTSF]]&amp;Tabelle5[[#This Row],[productCategory]]</f>
        <v>High ornamentalsInspection, irrigationGeneral maintenanceother</v>
      </c>
      <c r="B48" t="s">
        <v>684</v>
      </c>
      <c r="C48" t="s">
        <v>674</v>
      </c>
      <c r="D48" t="s">
        <v>623</v>
      </c>
      <c r="E48" t="s">
        <v>651</v>
      </c>
      <c r="F48" s="109">
        <v>8</v>
      </c>
      <c r="G48" s="109" t="s">
        <v>675</v>
      </c>
      <c r="H48" s="109">
        <v>12500</v>
      </c>
      <c r="I48" s="109">
        <v>1400</v>
      </c>
      <c r="J48" s="109">
        <v>1250</v>
      </c>
      <c r="K48" t="s">
        <v>627</v>
      </c>
      <c r="L48">
        <v>1</v>
      </c>
      <c r="M48" t="s">
        <v>677</v>
      </c>
      <c r="N48" s="109">
        <v>0.01</v>
      </c>
    </row>
    <row r="49" spans="1:14">
      <c r="A49" t="str">
        <f>Tabelle5[[#This Row],[Crop]]&amp;Tabelle5[[#This Row],[Activity]]&amp;Tabelle5[[#This Row],[ActivityTSF]]&amp;Tabelle5[[#This Row],[productCategory]]</f>
        <v>High ornamentalsInspection, irrigationInspection, wateringherbicide</v>
      </c>
      <c r="B49" t="s">
        <v>684</v>
      </c>
      <c r="C49" t="s">
        <v>674</v>
      </c>
      <c r="D49" t="s">
        <v>623</v>
      </c>
      <c r="E49" t="s">
        <v>650</v>
      </c>
      <c r="F49" s="109">
        <v>2</v>
      </c>
      <c r="G49" s="109" t="s">
        <v>675</v>
      </c>
      <c r="H49" s="109">
        <v>12500</v>
      </c>
      <c r="I49" s="109">
        <v>1400</v>
      </c>
      <c r="J49" s="109">
        <v>1250</v>
      </c>
      <c r="K49" t="s">
        <v>627</v>
      </c>
      <c r="L49">
        <v>1</v>
      </c>
      <c r="M49" t="s">
        <v>676</v>
      </c>
      <c r="N49" s="109">
        <v>0.01</v>
      </c>
    </row>
    <row r="50" spans="1:14">
      <c r="A50" t="str">
        <f>Tabelle5[[#This Row],[Crop]]&amp;Tabelle5[[#This Row],[Activity]]&amp;Tabelle5[[#This Row],[ActivityTSF]]&amp;Tabelle5[[#This Row],[productCategory]]</f>
        <v>High ornamentalsInspection, irrigationInspection, wateringother</v>
      </c>
      <c r="B50" t="s">
        <v>684</v>
      </c>
      <c r="C50" t="s">
        <v>674</v>
      </c>
      <c r="D50" t="s">
        <v>623</v>
      </c>
      <c r="E50" t="s">
        <v>650</v>
      </c>
      <c r="F50" s="109">
        <v>2</v>
      </c>
      <c r="G50" s="109" t="s">
        <v>675</v>
      </c>
      <c r="H50" s="109">
        <v>12500</v>
      </c>
      <c r="I50" s="109">
        <v>1400</v>
      </c>
      <c r="J50" s="109">
        <v>1250</v>
      </c>
      <c r="K50" t="s">
        <v>627</v>
      </c>
      <c r="L50">
        <v>1</v>
      </c>
      <c r="M50" t="s">
        <v>677</v>
      </c>
      <c r="N50" s="109">
        <v>0.01</v>
      </c>
    </row>
    <row r="51" spans="1:14" hidden="1">
      <c r="A51" t="str">
        <f>Tabelle5[[#This Row],[Crop]]&amp;Tabelle5[[#This Row],[Activity]]&amp;Tabelle5[[#This Row],[ActivityTSF]]&amp;Tabelle5[[#This Row],[productCategory]]</f>
        <v>High vegetablesInspection, irrigationGeneral maintenanceherbicide</v>
      </c>
      <c r="B51" t="s">
        <v>686</v>
      </c>
      <c r="C51" t="s">
        <v>674</v>
      </c>
      <c r="D51" t="s">
        <v>623</v>
      </c>
      <c r="E51" t="s">
        <v>651</v>
      </c>
      <c r="F51" s="109">
        <v>8</v>
      </c>
      <c r="G51" s="109" t="s">
        <v>675</v>
      </c>
      <c r="H51" s="109">
        <v>12500</v>
      </c>
      <c r="I51" s="109">
        <v>1400</v>
      </c>
      <c r="J51" s="109">
        <v>1250</v>
      </c>
      <c r="K51" t="s">
        <v>627</v>
      </c>
      <c r="L51">
        <v>1</v>
      </c>
      <c r="M51" t="s">
        <v>676</v>
      </c>
      <c r="N51" s="109">
        <v>0.01</v>
      </c>
    </row>
    <row r="52" spans="1:14" hidden="1">
      <c r="A52" t="str">
        <f>Tabelle5[[#This Row],[Crop]]&amp;Tabelle5[[#This Row],[Activity]]&amp;Tabelle5[[#This Row],[ActivityTSF]]&amp;Tabelle5[[#This Row],[productCategory]]</f>
        <v>High vegetablesInspection, irrigationGeneral maintenanceother</v>
      </c>
      <c r="B52" t="s">
        <v>686</v>
      </c>
      <c r="C52" t="s">
        <v>674</v>
      </c>
      <c r="D52" t="s">
        <v>623</v>
      </c>
      <c r="E52" t="s">
        <v>651</v>
      </c>
      <c r="F52" s="109">
        <v>8</v>
      </c>
      <c r="G52" s="109" t="s">
        <v>675</v>
      </c>
      <c r="H52" s="109">
        <v>12500</v>
      </c>
      <c r="I52" s="109">
        <v>1400</v>
      </c>
      <c r="J52" s="109">
        <v>1250</v>
      </c>
      <c r="K52" t="s">
        <v>627</v>
      </c>
      <c r="L52">
        <v>1</v>
      </c>
      <c r="M52" t="s">
        <v>677</v>
      </c>
      <c r="N52" s="109">
        <v>0.01</v>
      </c>
    </row>
    <row r="53" spans="1:14" hidden="1">
      <c r="A53" t="str">
        <f>Tabelle5[[#This Row],[Crop]]&amp;Tabelle5[[#This Row],[Activity]]&amp;Tabelle5[[#This Row],[ActivityTSF]]&amp;Tabelle5[[#This Row],[productCategory]]</f>
        <v>High vegetablesInspection, irrigationNAherbicide</v>
      </c>
      <c r="B53" t="s">
        <v>686</v>
      </c>
      <c r="C53" t="s">
        <v>674</v>
      </c>
      <c r="D53" t="s">
        <v>623</v>
      </c>
      <c r="E53" t="s">
        <v>627</v>
      </c>
      <c r="F53" s="109">
        <v>2</v>
      </c>
      <c r="G53" s="109" t="s">
        <v>675</v>
      </c>
      <c r="H53" s="109">
        <v>12500</v>
      </c>
      <c r="I53" s="109">
        <v>1400</v>
      </c>
      <c r="J53" s="109">
        <v>1250</v>
      </c>
      <c r="K53" t="s">
        <v>627</v>
      </c>
      <c r="L53">
        <v>1</v>
      </c>
      <c r="M53" t="s">
        <v>676</v>
      </c>
      <c r="N53" s="109" t="s">
        <v>627</v>
      </c>
    </row>
    <row r="54" spans="1:14" hidden="1">
      <c r="A54" t="str">
        <f>Tabelle5[[#This Row],[Crop]]&amp;Tabelle5[[#This Row],[Activity]]&amp;Tabelle5[[#This Row],[ActivityTSF]]&amp;Tabelle5[[#This Row],[productCategory]]</f>
        <v>High vegetablesInspection, irrigationNAother</v>
      </c>
      <c r="B54" t="s">
        <v>686</v>
      </c>
      <c r="C54" t="s">
        <v>674</v>
      </c>
      <c r="D54" t="s">
        <v>623</v>
      </c>
      <c r="E54" t="s">
        <v>627</v>
      </c>
      <c r="F54" s="109">
        <v>2</v>
      </c>
      <c r="G54" s="109" t="s">
        <v>675</v>
      </c>
      <c r="H54" s="109">
        <v>12500</v>
      </c>
      <c r="I54" s="109">
        <v>1400</v>
      </c>
      <c r="J54" s="109">
        <v>1250</v>
      </c>
      <c r="K54" t="s">
        <v>627</v>
      </c>
      <c r="L54">
        <v>1</v>
      </c>
      <c r="M54" t="s">
        <v>677</v>
      </c>
      <c r="N54" s="109" t="s">
        <v>627</v>
      </c>
    </row>
    <row r="55" spans="1:14" hidden="1">
      <c r="A55" t="str">
        <f>Tabelle5[[#This Row],[Crop]]&amp;Tabelle5[[#This Row],[Activity]]&amp;Tabelle5[[#This Row],[ActivityTSF]]&amp;Tabelle5[[#This Row],[productCategory]]</f>
        <v>High vegetablesInspection, irrigationInspection, wateringherbicide</v>
      </c>
      <c r="B55" t="s">
        <v>686</v>
      </c>
      <c r="C55" t="s">
        <v>674</v>
      </c>
      <c r="D55" t="s">
        <v>623</v>
      </c>
      <c r="E55" t="s">
        <v>650</v>
      </c>
      <c r="F55" s="109">
        <v>2</v>
      </c>
      <c r="G55" s="109" t="s">
        <v>675</v>
      </c>
      <c r="H55" s="109">
        <v>12500</v>
      </c>
      <c r="I55" s="109">
        <v>1400</v>
      </c>
      <c r="J55" s="109">
        <v>1250</v>
      </c>
      <c r="K55" t="s">
        <v>627</v>
      </c>
      <c r="L55">
        <v>1</v>
      </c>
      <c r="M55" t="s">
        <v>676</v>
      </c>
      <c r="N55" s="109">
        <v>0.01</v>
      </c>
    </row>
    <row r="56" spans="1:14" hidden="1">
      <c r="A56" t="str">
        <f>Tabelle5[[#This Row],[Crop]]&amp;Tabelle5[[#This Row],[Activity]]&amp;Tabelle5[[#This Row],[ActivityTSF]]&amp;Tabelle5[[#This Row],[productCategory]]</f>
        <v>High vegetablesInspection, irrigationInspection, wateringother</v>
      </c>
      <c r="B56" t="s">
        <v>686</v>
      </c>
      <c r="C56" t="s">
        <v>674</v>
      </c>
      <c r="D56" t="s">
        <v>623</v>
      </c>
      <c r="E56" t="s">
        <v>650</v>
      </c>
      <c r="F56" s="109">
        <v>2</v>
      </c>
      <c r="G56" s="109" t="s">
        <v>675</v>
      </c>
      <c r="H56" s="109">
        <v>12500</v>
      </c>
      <c r="I56" s="109">
        <v>1400</v>
      </c>
      <c r="J56" s="109">
        <v>1250</v>
      </c>
      <c r="K56" t="s">
        <v>627</v>
      </c>
      <c r="L56">
        <v>1</v>
      </c>
      <c r="M56" t="s">
        <v>677</v>
      </c>
      <c r="N56" s="109">
        <v>0.01</v>
      </c>
    </row>
    <row r="57" spans="1:14" hidden="1">
      <c r="A57" t="str">
        <f>Tabelle5[[#This Row],[Crop]]&amp;Tabelle5[[#This Row],[Activity]]&amp;Tabelle5[[#This Row],[ActivityTSF]]&amp;Tabelle5[[#This Row],[productCategory]]</f>
        <v>High vegetablesReaching, pickingNAherbicide</v>
      </c>
      <c r="B57" t="s">
        <v>686</v>
      </c>
      <c r="C57" t="s">
        <v>687</v>
      </c>
      <c r="D57" t="s">
        <v>628</v>
      </c>
      <c r="E57" t="s">
        <v>627</v>
      </c>
      <c r="F57" s="109">
        <v>8</v>
      </c>
      <c r="G57" s="109" t="s">
        <v>675</v>
      </c>
      <c r="H57" s="109">
        <v>12500</v>
      </c>
      <c r="I57" s="109">
        <v>1400</v>
      </c>
      <c r="J57" s="109">
        <v>1250</v>
      </c>
      <c r="K57" t="s">
        <v>627</v>
      </c>
      <c r="L57">
        <v>1</v>
      </c>
      <c r="M57" t="s">
        <v>676</v>
      </c>
      <c r="N57" s="109" t="s">
        <v>627</v>
      </c>
    </row>
    <row r="58" spans="1:14" hidden="1">
      <c r="A58" t="str">
        <f>Tabelle5[[#This Row],[Crop]]&amp;Tabelle5[[#This Row],[Activity]]&amp;Tabelle5[[#This Row],[ActivityTSF]]&amp;Tabelle5[[#This Row],[productCategory]]</f>
        <v>High vegetablesReaching, pickingNAother</v>
      </c>
      <c r="B58" t="s">
        <v>686</v>
      </c>
      <c r="C58" t="s">
        <v>687</v>
      </c>
      <c r="D58" t="s">
        <v>628</v>
      </c>
      <c r="E58" t="s">
        <v>627</v>
      </c>
      <c r="F58" s="109">
        <v>8</v>
      </c>
      <c r="G58" s="109" t="s">
        <v>675</v>
      </c>
      <c r="H58" s="109">
        <v>5800</v>
      </c>
      <c r="I58" s="109">
        <v>2500</v>
      </c>
      <c r="J58" s="109">
        <v>580</v>
      </c>
      <c r="K58" t="s">
        <v>627</v>
      </c>
      <c r="L58">
        <v>1</v>
      </c>
      <c r="M58" t="s">
        <v>677</v>
      </c>
      <c r="N58" s="109" t="s">
        <v>627</v>
      </c>
    </row>
    <row r="59" spans="1:14" hidden="1">
      <c r="A59" t="str">
        <f>Tabelle5[[#This Row],[Crop]]&amp;Tabelle5[[#This Row],[Activity]]&amp;Tabelle5[[#This Row],[ActivityTSF]]&amp;Tabelle5[[#This Row],[productCategory]]</f>
        <v>High vegetablesReaching, pickingHarvesting, including cutting and bundlingherbicide</v>
      </c>
      <c r="B59" t="s">
        <v>686</v>
      </c>
      <c r="C59" t="s">
        <v>687</v>
      </c>
      <c r="D59" t="s">
        <v>628</v>
      </c>
      <c r="E59" t="s">
        <v>652</v>
      </c>
      <c r="F59" s="109">
        <v>8</v>
      </c>
      <c r="G59" s="109" t="s">
        <v>675</v>
      </c>
      <c r="H59" s="109">
        <v>12500</v>
      </c>
      <c r="I59" s="109">
        <v>1400</v>
      </c>
      <c r="J59" s="109">
        <v>1250</v>
      </c>
      <c r="K59" t="s">
        <v>627</v>
      </c>
      <c r="L59">
        <v>1</v>
      </c>
      <c r="M59" t="s">
        <v>676</v>
      </c>
      <c r="N59" s="109">
        <v>0.01</v>
      </c>
    </row>
    <row r="60" spans="1:14" hidden="1">
      <c r="A60" t="str">
        <f>Tabelle5[[#This Row],[Crop]]&amp;Tabelle5[[#This Row],[Activity]]&amp;Tabelle5[[#This Row],[ActivityTSF]]&amp;Tabelle5[[#This Row],[productCategory]]</f>
        <v>High vegetablesReaching, pickingHarvesting, including cutting and bundlingother</v>
      </c>
      <c r="B60" t="s">
        <v>686</v>
      </c>
      <c r="C60" t="s">
        <v>687</v>
      </c>
      <c r="D60" t="s">
        <v>628</v>
      </c>
      <c r="E60" t="s">
        <v>652</v>
      </c>
      <c r="F60" s="109">
        <v>8</v>
      </c>
      <c r="G60" s="109" t="s">
        <v>675</v>
      </c>
      <c r="H60" s="109">
        <v>5800</v>
      </c>
      <c r="I60" s="109">
        <v>2500</v>
      </c>
      <c r="J60" s="109">
        <v>580</v>
      </c>
      <c r="K60" t="s">
        <v>627</v>
      </c>
      <c r="L60">
        <v>1</v>
      </c>
      <c r="M60" t="s">
        <v>677</v>
      </c>
      <c r="N60" s="109">
        <v>0.1</v>
      </c>
    </row>
    <row r="61" spans="1:14" hidden="1">
      <c r="A61" t="str">
        <f>Tabelle5[[#This Row],[Crop]]&amp;Tabelle5[[#This Row],[Activity]]&amp;Tabelle5[[#This Row],[ActivityTSF]]&amp;Tabelle5[[#This Row],[productCategory]]</f>
        <v>HopsHarvestNAherbicide</v>
      </c>
      <c r="B61" t="s">
        <v>614</v>
      </c>
      <c r="C61" t="s">
        <v>615</v>
      </c>
      <c r="D61" t="s">
        <v>630</v>
      </c>
      <c r="E61" t="s">
        <v>627</v>
      </c>
      <c r="F61" s="109">
        <v>8</v>
      </c>
      <c r="G61" s="109" t="s">
        <v>675</v>
      </c>
      <c r="H61" s="109">
        <v>12500</v>
      </c>
      <c r="I61" s="109">
        <v>1400</v>
      </c>
      <c r="J61" s="109">
        <v>1250</v>
      </c>
      <c r="K61" t="s">
        <v>627</v>
      </c>
      <c r="L61">
        <v>1</v>
      </c>
      <c r="M61" t="s">
        <v>676</v>
      </c>
      <c r="N61" s="109" t="s">
        <v>627</v>
      </c>
    </row>
    <row r="62" spans="1:14" hidden="1">
      <c r="A62" t="str">
        <f>Tabelle5[[#This Row],[Crop]]&amp;Tabelle5[[#This Row],[Activity]]&amp;Tabelle5[[#This Row],[ActivityTSF]]&amp;Tabelle5[[#This Row],[productCategory]]</f>
        <v>HopsHarvestNAother</v>
      </c>
      <c r="B62" t="s">
        <v>614</v>
      </c>
      <c r="C62" t="s">
        <v>615</v>
      </c>
      <c r="D62" t="s">
        <v>630</v>
      </c>
      <c r="E62" t="s">
        <v>627</v>
      </c>
      <c r="F62" s="109">
        <v>8</v>
      </c>
      <c r="G62" s="109" t="s">
        <v>675</v>
      </c>
      <c r="H62" s="109">
        <v>30000</v>
      </c>
      <c r="I62" s="109">
        <v>10100</v>
      </c>
      <c r="J62" s="109" t="s">
        <v>627</v>
      </c>
      <c r="K62" t="s">
        <v>627</v>
      </c>
      <c r="L62">
        <v>1</v>
      </c>
      <c r="M62" t="s">
        <v>677</v>
      </c>
      <c r="N62" s="109" t="s">
        <v>627</v>
      </c>
    </row>
    <row r="63" spans="1:14" hidden="1">
      <c r="A63" t="str">
        <f>Tabelle5[[#This Row],[Crop]]&amp;Tabelle5[[#This Row],[Activity]]&amp;Tabelle5[[#This Row],[ActivityTSF]]&amp;Tabelle5[[#This Row],[productCategory]]</f>
        <v>HopsInspection, irrigationNAherbicide</v>
      </c>
      <c r="B63" t="s">
        <v>614</v>
      </c>
      <c r="C63" t="s">
        <v>674</v>
      </c>
      <c r="D63" t="s">
        <v>623</v>
      </c>
      <c r="E63" t="s">
        <v>627</v>
      </c>
      <c r="F63" s="109">
        <v>2</v>
      </c>
      <c r="G63" s="109" t="s">
        <v>675</v>
      </c>
      <c r="H63" s="109">
        <v>12500</v>
      </c>
      <c r="I63" s="109">
        <v>1400</v>
      </c>
      <c r="J63" s="109">
        <v>1250</v>
      </c>
      <c r="K63" t="s">
        <v>627</v>
      </c>
      <c r="L63">
        <v>1</v>
      </c>
      <c r="M63" t="s">
        <v>676</v>
      </c>
      <c r="N63" s="109" t="s">
        <v>627</v>
      </c>
    </row>
    <row r="64" spans="1:14" hidden="1">
      <c r="A64" t="str">
        <f>Tabelle5[[#This Row],[Crop]]&amp;Tabelle5[[#This Row],[Activity]]&amp;Tabelle5[[#This Row],[ActivityTSF]]&amp;Tabelle5[[#This Row],[productCategory]]</f>
        <v>HopsInspection, irrigationNAother</v>
      </c>
      <c r="B64" t="s">
        <v>614</v>
      </c>
      <c r="C64" t="s">
        <v>674</v>
      </c>
      <c r="D64" t="s">
        <v>623</v>
      </c>
      <c r="E64" t="s">
        <v>627</v>
      </c>
      <c r="F64" s="109">
        <v>2</v>
      </c>
      <c r="G64" s="109" t="s">
        <v>675</v>
      </c>
      <c r="H64" s="109">
        <v>12500</v>
      </c>
      <c r="I64" s="109">
        <v>1400</v>
      </c>
      <c r="J64" s="109">
        <v>1250</v>
      </c>
      <c r="K64" t="s">
        <v>627</v>
      </c>
      <c r="L64">
        <v>1</v>
      </c>
      <c r="M64" t="s">
        <v>677</v>
      </c>
      <c r="N64" s="109" t="s">
        <v>627</v>
      </c>
    </row>
    <row r="65" spans="1:14" hidden="1">
      <c r="A65" t="str">
        <f>Tabelle5[[#This Row],[Crop]]&amp;Tabelle5[[#This Row],[Activity]]&amp;Tabelle5[[#This Row],[ActivityTSF]]&amp;Tabelle5[[#This Row],[productCategory]]</f>
        <v>Low berriesInspection, irrigationGeneral maintenanceherbicide</v>
      </c>
      <c r="B65" t="s">
        <v>688</v>
      </c>
      <c r="C65" t="s">
        <v>674</v>
      </c>
      <c r="D65" t="s">
        <v>623</v>
      </c>
      <c r="E65" t="s">
        <v>651</v>
      </c>
      <c r="F65" s="109">
        <v>8</v>
      </c>
      <c r="G65" s="109" t="s">
        <v>675</v>
      </c>
      <c r="H65" s="109">
        <v>12500</v>
      </c>
      <c r="I65" s="109">
        <v>1400</v>
      </c>
      <c r="J65" s="109">
        <v>1250</v>
      </c>
      <c r="K65" t="s">
        <v>627</v>
      </c>
      <c r="L65">
        <v>1</v>
      </c>
      <c r="M65" t="s">
        <v>676</v>
      </c>
      <c r="N65" s="109">
        <v>0.01</v>
      </c>
    </row>
    <row r="66" spans="1:14" hidden="1">
      <c r="A66" t="str">
        <f>Tabelle5[[#This Row],[Crop]]&amp;Tabelle5[[#This Row],[Activity]]&amp;Tabelle5[[#This Row],[ActivityTSF]]&amp;Tabelle5[[#This Row],[productCategory]]</f>
        <v>Low berriesInspection, irrigationGeneral maintenanceother</v>
      </c>
      <c r="B66" t="s">
        <v>688</v>
      </c>
      <c r="C66" t="s">
        <v>674</v>
      </c>
      <c r="D66" t="s">
        <v>623</v>
      </c>
      <c r="E66" t="s">
        <v>651</v>
      </c>
      <c r="F66" s="109">
        <v>8</v>
      </c>
      <c r="G66" s="109" t="s">
        <v>675</v>
      </c>
      <c r="H66" s="109">
        <v>12500</v>
      </c>
      <c r="I66" s="109">
        <v>1400</v>
      </c>
      <c r="J66" s="109">
        <v>1250</v>
      </c>
      <c r="K66" t="s">
        <v>627</v>
      </c>
      <c r="L66">
        <v>1</v>
      </c>
      <c r="M66" t="s">
        <v>677</v>
      </c>
      <c r="N66" s="109">
        <v>0.01</v>
      </c>
    </row>
    <row r="67" spans="1:14" hidden="1">
      <c r="A67" t="str">
        <f>Tabelle5[[#This Row],[Crop]]&amp;Tabelle5[[#This Row],[Activity]]&amp;Tabelle5[[#This Row],[ActivityTSF]]&amp;Tabelle5[[#This Row],[productCategory]]</f>
        <v>Low berriesInspection, irrigationInspection, wateringherbicide</v>
      </c>
      <c r="B67" t="s">
        <v>688</v>
      </c>
      <c r="C67" t="s">
        <v>674</v>
      </c>
      <c r="D67" t="s">
        <v>623</v>
      </c>
      <c r="E67" t="s">
        <v>650</v>
      </c>
      <c r="F67" s="109">
        <v>2</v>
      </c>
      <c r="G67" s="109" t="s">
        <v>675</v>
      </c>
      <c r="H67" s="109">
        <v>12500</v>
      </c>
      <c r="I67" s="109">
        <v>1400</v>
      </c>
      <c r="J67" s="109">
        <v>1250</v>
      </c>
      <c r="K67" t="s">
        <v>627</v>
      </c>
      <c r="L67">
        <v>1</v>
      </c>
      <c r="M67" t="s">
        <v>676</v>
      </c>
      <c r="N67" s="109">
        <v>0.01</v>
      </c>
    </row>
    <row r="68" spans="1:14" hidden="1">
      <c r="A68" t="str">
        <f>Tabelle5[[#This Row],[Crop]]&amp;Tabelle5[[#This Row],[Activity]]&amp;Tabelle5[[#This Row],[ActivityTSF]]&amp;Tabelle5[[#This Row],[productCategory]]</f>
        <v>Low berriesInspection, irrigationInspection, wateringother</v>
      </c>
      <c r="B68" t="s">
        <v>688</v>
      </c>
      <c r="C68" t="s">
        <v>674</v>
      </c>
      <c r="D68" t="s">
        <v>623</v>
      </c>
      <c r="E68" t="s">
        <v>650</v>
      </c>
      <c r="F68" s="109">
        <v>2</v>
      </c>
      <c r="G68" s="109" t="s">
        <v>675</v>
      </c>
      <c r="H68" s="109">
        <v>12500</v>
      </c>
      <c r="I68" s="109">
        <v>1400</v>
      </c>
      <c r="J68" s="109">
        <v>1250</v>
      </c>
      <c r="K68" t="s">
        <v>627</v>
      </c>
      <c r="L68">
        <v>1</v>
      </c>
      <c r="M68" t="s">
        <v>677</v>
      </c>
      <c r="N68" s="109">
        <v>0.01</v>
      </c>
    </row>
    <row r="69" spans="1:14" hidden="1">
      <c r="A69" t="str">
        <f>Tabelle5[[#This Row],[Crop]]&amp;Tabelle5[[#This Row],[Activity]]&amp;Tabelle5[[#This Row],[ActivityTSF]]&amp;Tabelle5[[#This Row],[productCategory]]</f>
        <v>Low berriesReaching, pickingHarvesting, including cutting and bundlingherbicide</v>
      </c>
      <c r="B69" t="s">
        <v>688</v>
      </c>
      <c r="C69" t="s">
        <v>688</v>
      </c>
      <c r="D69" t="s">
        <v>628</v>
      </c>
      <c r="E69" t="s">
        <v>652</v>
      </c>
      <c r="F69" s="109">
        <v>8</v>
      </c>
      <c r="G69" s="109" t="s">
        <v>689</v>
      </c>
      <c r="H69" s="109">
        <v>5800</v>
      </c>
      <c r="I69" s="109">
        <v>3000</v>
      </c>
      <c r="J69" s="109">
        <v>750</v>
      </c>
      <c r="K69" t="s">
        <v>627</v>
      </c>
      <c r="L69">
        <v>1</v>
      </c>
      <c r="M69" t="s">
        <v>676</v>
      </c>
      <c r="N69" s="109">
        <v>0.01</v>
      </c>
    </row>
    <row r="70" spans="1:14" hidden="1">
      <c r="A70" t="str">
        <f>Tabelle5[[#This Row],[Crop]]&amp;Tabelle5[[#This Row],[Activity]]&amp;Tabelle5[[#This Row],[ActivityTSF]]&amp;Tabelle5[[#This Row],[productCategory]]</f>
        <v>Low berriesReaching, pickingHarvesting, including cutting and bundlingother</v>
      </c>
      <c r="B70" t="s">
        <v>688</v>
      </c>
      <c r="C70" t="s">
        <v>688</v>
      </c>
      <c r="D70" t="s">
        <v>628</v>
      </c>
      <c r="E70" t="s">
        <v>652</v>
      </c>
      <c r="F70" s="109">
        <v>8</v>
      </c>
      <c r="G70" s="109" t="s">
        <v>689</v>
      </c>
      <c r="H70" s="109">
        <v>5800</v>
      </c>
      <c r="I70" s="109">
        <v>3000</v>
      </c>
      <c r="J70" s="109">
        <v>750</v>
      </c>
      <c r="K70" t="s">
        <v>627</v>
      </c>
      <c r="L70">
        <v>1</v>
      </c>
      <c r="M70" t="s">
        <v>677</v>
      </c>
      <c r="N70" s="109">
        <v>0.1</v>
      </c>
    </row>
    <row r="71" spans="1:14">
      <c r="A71" t="str">
        <f>Tabelle5[[#This Row],[Crop]]&amp;Tabelle5[[#This Row],[Activity]]&amp;Tabelle5[[#This Row],[ActivityTSF]]&amp;Tabelle5[[#This Row],[productCategory]]</f>
        <v>Low ornamentalsCutting, sorting, bundling, carryingNAherbicide</v>
      </c>
      <c r="B71" t="s">
        <v>690</v>
      </c>
      <c r="C71" t="s">
        <v>685</v>
      </c>
      <c r="D71" t="s">
        <v>643</v>
      </c>
      <c r="E71" t="s">
        <v>627</v>
      </c>
      <c r="F71" s="109">
        <v>8</v>
      </c>
      <c r="G71" s="109" t="s">
        <v>675</v>
      </c>
      <c r="H71" s="109">
        <v>14000</v>
      </c>
      <c r="I71" s="109">
        <v>5000</v>
      </c>
      <c r="J71" s="109">
        <v>1400</v>
      </c>
      <c r="K71" t="s">
        <v>627</v>
      </c>
      <c r="L71">
        <v>1</v>
      </c>
      <c r="M71" t="s">
        <v>676</v>
      </c>
      <c r="N71" s="109" t="s">
        <v>627</v>
      </c>
    </row>
    <row r="72" spans="1:14">
      <c r="A72" t="str">
        <f>Tabelle5[[#This Row],[Crop]]&amp;Tabelle5[[#This Row],[Activity]]&amp;Tabelle5[[#This Row],[ActivityTSF]]&amp;Tabelle5[[#This Row],[productCategory]]</f>
        <v>Low ornamentalsCutting, sorting, bundling, carryingNAother</v>
      </c>
      <c r="B72" t="s">
        <v>690</v>
      </c>
      <c r="C72" t="s">
        <v>685</v>
      </c>
      <c r="D72" t="s">
        <v>643</v>
      </c>
      <c r="E72" t="s">
        <v>627</v>
      </c>
      <c r="F72" s="109">
        <v>8</v>
      </c>
      <c r="G72" s="109" t="s">
        <v>675</v>
      </c>
      <c r="H72" s="109">
        <v>14000</v>
      </c>
      <c r="I72" s="109">
        <v>5000</v>
      </c>
      <c r="J72" s="109">
        <v>1400</v>
      </c>
      <c r="K72" t="s">
        <v>627</v>
      </c>
      <c r="L72">
        <v>1</v>
      </c>
      <c r="M72" t="s">
        <v>677</v>
      </c>
      <c r="N72" s="109" t="s">
        <v>627</v>
      </c>
    </row>
    <row r="73" spans="1:14">
      <c r="A73" t="str">
        <f>Tabelle5[[#This Row],[Crop]]&amp;Tabelle5[[#This Row],[Activity]]&amp;Tabelle5[[#This Row],[ActivityTSF]]&amp;Tabelle5[[#This Row],[productCategory]]</f>
        <v>Low ornamentalsCutting, sorting, bundling, carryingHarvesting, including cutting and bundlingherbicide</v>
      </c>
      <c r="B73" t="s">
        <v>690</v>
      </c>
      <c r="C73" t="s">
        <v>685</v>
      </c>
      <c r="D73" t="s">
        <v>643</v>
      </c>
      <c r="E73" t="s">
        <v>652</v>
      </c>
      <c r="F73" s="109">
        <v>8</v>
      </c>
      <c r="G73" s="109" t="s">
        <v>675</v>
      </c>
      <c r="H73" s="109">
        <v>14000</v>
      </c>
      <c r="I73" s="109">
        <v>5000</v>
      </c>
      <c r="J73" s="109">
        <v>1400</v>
      </c>
      <c r="K73" t="s">
        <v>627</v>
      </c>
      <c r="L73">
        <v>1</v>
      </c>
      <c r="M73" t="s">
        <v>676</v>
      </c>
      <c r="N73" s="109">
        <v>0.01</v>
      </c>
    </row>
    <row r="74" spans="1:14">
      <c r="A74" t="str">
        <f>Tabelle5[[#This Row],[Crop]]&amp;Tabelle5[[#This Row],[Activity]]&amp;Tabelle5[[#This Row],[ActivityTSF]]&amp;Tabelle5[[#This Row],[productCategory]]</f>
        <v>Low ornamentalsCutting, sorting, bundling, carryingHarvesting, including cutting and bundlingother</v>
      </c>
      <c r="B74" t="s">
        <v>690</v>
      </c>
      <c r="C74" t="s">
        <v>685</v>
      </c>
      <c r="D74" t="s">
        <v>643</v>
      </c>
      <c r="E74" t="s">
        <v>652</v>
      </c>
      <c r="F74" s="109">
        <v>8</v>
      </c>
      <c r="G74" s="109" t="s">
        <v>675</v>
      </c>
      <c r="H74" s="109">
        <v>14000</v>
      </c>
      <c r="I74" s="109">
        <v>5000</v>
      </c>
      <c r="J74" s="109">
        <v>1400</v>
      </c>
      <c r="K74" t="s">
        <v>627</v>
      </c>
      <c r="L74">
        <v>1</v>
      </c>
      <c r="M74" t="s">
        <v>677</v>
      </c>
      <c r="N74" s="109">
        <v>0.1</v>
      </c>
    </row>
    <row r="75" spans="1:14">
      <c r="A75" t="str">
        <f>Tabelle5[[#This Row],[Crop]]&amp;Tabelle5[[#This Row],[Activity]]&amp;Tabelle5[[#This Row],[ActivityTSF]]&amp;Tabelle5[[#This Row],[productCategory]]</f>
        <v>Low ornamentalsInspection, irrigationGeneral maintenanceherbicide</v>
      </c>
      <c r="B75" t="s">
        <v>690</v>
      </c>
      <c r="C75" t="s">
        <v>674</v>
      </c>
      <c r="D75" t="s">
        <v>623</v>
      </c>
      <c r="E75" t="s">
        <v>651</v>
      </c>
      <c r="F75" s="109">
        <v>8</v>
      </c>
      <c r="G75" s="109" t="s">
        <v>675</v>
      </c>
      <c r="H75" s="109">
        <v>12500</v>
      </c>
      <c r="I75" s="109">
        <v>1400</v>
      </c>
      <c r="J75" s="109">
        <v>1250</v>
      </c>
      <c r="K75" t="s">
        <v>627</v>
      </c>
      <c r="L75">
        <v>1</v>
      </c>
      <c r="M75" t="s">
        <v>676</v>
      </c>
      <c r="N75" s="109">
        <v>0.01</v>
      </c>
    </row>
    <row r="76" spans="1:14">
      <c r="A76" t="str">
        <f>Tabelle5[[#This Row],[Crop]]&amp;Tabelle5[[#This Row],[Activity]]&amp;Tabelle5[[#This Row],[ActivityTSF]]&amp;Tabelle5[[#This Row],[productCategory]]</f>
        <v>Low ornamentalsInspection, irrigationGeneral maintenanceother</v>
      </c>
      <c r="B76" t="s">
        <v>690</v>
      </c>
      <c r="C76" t="s">
        <v>674</v>
      </c>
      <c r="D76" t="s">
        <v>623</v>
      </c>
      <c r="E76" t="s">
        <v>651</v>
      </c>
      <c r="F76" s="109">
        <v>8</v>
      </c>
      <c r="G76" s="109" t="s">
        <v>675</v>
      </c>
      <c r="H76" s="109">
        <v>12500</v>
      </c>
      <c r="I76" s="109">
        <v>1400</v>
      </c>
      <c r="J76" s="109">
        <v>1250</v>
      </c>
      <c r="K76" t="s">
        <v>627</v>
      </c>
      <c r="L76">
        <v>1</v>
      </c>
      <c r="M76" t="s">
        <v>677</v>
      </c>
      <c r="N76" s="109">
        <v>0.01</v>
      </c>
    </row>
    <row r="77" spans="1:14">
      <c r="A77" t="str">
        <f>Tabelle5[[#This Row],[Crop]]&amp;Tabelle5[[#This Row],[Activity]]&amp;Tabelle5[[#This Row],[ActivityTSF]]&amp;Tabelle5[[#This Row],[productCategory]]</f>
        <v>Low ornamentalsInspection, irrigationNAherbicide</v>
      </c>
      <c r="B77" t="s">
        <v>690</v>
      </c>
      <c r="C77" t="s">
        <v>674</v>
      </c>
      <c r="D77" t="s">
        <v>623</v>
      </c>
      <c r="E77" t="s">
        <v>627</v>
      </c>
      <c r="F77" s="109">
        <v>2</v>
      </c>
      <c r="G77" s="109" t="s">
        <v>675</v>
      </c>
      <c r="H77" s="109">
        <v>12500</v>
      </c>
      <c r="I77" s="109">
        <v>1400</v>
      </c>
      <c r="J77" s="109">
        <v>1250</v>
      </c>
      <c r="K77" t="s">
        <v>627</v>
      </c>
      <c r="L77">
        <v>1</v>
      </c>
      <c r="M77" t="s">
        <v>676</v>
      </c>
      <c r="N77" s="109" t="s">
        <v>627</v>
      </c>
    </row>
    <row r="78" spans="1:14">
      <c r="A78" t="str">
        <f>Tabelle5[[#This Row],[Crop]]&amp;Tabelle5[[#This Row],[Activity]]&amp;Tabelle5[[#This Row],[ActivityTSF]]&amp;Tabelle5[[#This Row],[productCategory]]</f>
        <v>Low ornamentalsInspection, irrigationNAother</v>
      </c>
      <c r="B78" t="s">
        <v>690</v>
      </c>
      <c r="C78" t="s">
        <v>674</v>
      </c>
      <c r="D78" t="s">
        <v>623</v>
      </c>
      <c r="E78" t="s">
        <v>627</v>
      </c>
      <c r="F78" s="109">
        <v>2</v>
      </c>
      <c r="G78" s="109" t="s">
        <v>675</v>
      </c>
      <c r="H78" s="109">
        <v>12500</v>
      </c>
      <c r="I78" s="109">
        <v>1400</v>
      </c>
      <c r="J78" s="109">
        <v>1250</v>
      </c>
      <c r="K78" t="s">
        <v>627</v>
      </c>
      <c r="L78">
        <v>1</v>
      </c>
      <c r="M78" t="s">
        <v>677</v>
      </c>
      <c r="N78" s="109" t="s">
        <v>627</v>
      </c>
    </row>
    <row r="79" spans="1:14">
      <c r="A79" t="str">
        <f>Tabelle5[[#This Row],[Crop]]&amp;Tabelle5[[#This Row],[Activity]]&amp;Tabelle5[[#This Row],[ActivityTSF]]&amp;Tabelle5[[#This Row],[productCategory]]</f>
        <v>Low ornamentalsInspection, irrigationInspection, wateringherbicide</v>
      </c>
      <c r="B79" t="s">
        <v>690</v>
      </c>
      <c r="C79" t="s">
        <v>674</v>
      </c>
      <c r="D79" t="s">
        <v>623</v>
      </c>
      <c r="E79" t="s">
        <v>650</v>
      </c>
      <c r="F79" s="109">
        <v>2</v>
      </c>
      <c r="G79" s="109" t="s">
        <v>675</v>
      </c>
      <c r="H79" s="109">
        <v>12500</v>
      </c>
      <c r="I79" s="109">
        <v>1400</v>
      </c>
      <c r="J79" s="109">
        <v>1250</v>
      </c>
      <c r="K79" t="s">
        <v>627</v>
      </c>
      <c r="L79">
        <v>1</v>
      </c>
      <c r="M79" t="s">
        <v>676</v>
      </c>
      <c r="N79" s="109">
        <v>0.01</v>
      </c>
    </row>
    <row r="80" spans="1:14">
      <c r="A80" t="str">
        <f>Tabelle5[[#This Row],[Crop]]&amp;Tabelle5[[#This Row],[Activity]]&amp;Tabelle5[[#This Row],[ActivityTSF]]&amp;Tabelle5[[#This Row],[productCategory]]</f>
        <v>Low ornamentalsInspection, irrigationInspection, wateringother</v>
      </c>
      <c r="B80" t="s">
        <v>690</v>
      </c>
      <c r="C80" t="s">
        <v>674</v>
      </c>
      <c r="D80" t="s">
        <v>623</v>
      </c>
      <c r="E80" t="s">
        <v>650</v>
      </c>
      <c r="F80" s="109">
        <v>2</v>
      </c>
      <c r="G80" s="109" t="s">
        <v>675</v>
      </c>
      <c r="H80" s="109">
        <v>12500</v>
      </c>
      <c r="I80" s="109">
        <v>1400</v>
      </c>
      <c r="J80" s="109">
        <v>1250</v>
      </c>
      <c r="K80" t="s">
        <v>627</v>
      </c>
      <c r="L80">
        <v>1</v>
      </c>
      <c r="M80" t="s">
        <v>677</v>
      </c>
      <c r="N80" s="109">
        <v>0.01</v>
      </c>
    </row>
    <row r="81" spans="1:14" hidden="1">
      <c r="A81" t="str">
        <f>Tabelle5[[#This Row],[Crop]]&amp;Tabelle5[[#This Row],[Activity]]&amp;Tabelle5[[#This Row],[ActivityTSF]]&amp;Tabelle5[[#This Row],[productCategory]]</f>
        <v>Low vegetablesHarvest (Brassica only)NAherbicide</v>
      </c>
      <c r="B81" t="s">
        <v>691</v>
      </c>
      <c r="C81" t="s">
        <v>691</v>
      </c>
      <c r="D81" t="s">
        <v>647</v>
      </c>
      <c r="E81" t="s">
        <v>627</v>
      </c>
      <c r="F81" s="109">
        <v>8</v>
      </c>
      <c r="G81" s="109" t="s">
        <v>675</v>
      </c>
      <c r="H81" s="109" t="s">
        <v>627</v>
      </c>
      <c r="I81" s="109">
        <v>5000</v>
      </c>
      <c r="J81" s="109" t="s">
        <v>627</v>
      </c>
      <c r="K81" t="s">
        <v>627</v>
      </c>
      <c r="L81">
        <v>1</v>
      </c>
      <c r="M81" t="s">
        <v>676</v>
      </c>
      <c r="N81" s="109" t="s">
        <v>627</v>
      </c>
    </row>
    <row r="82" spans="1:14" hidden="1">
      <c r="A82" t="str">
        <f>Tabelle5[[#This Row],[Crop]]&amp;Tabelle5[[#This Row],[Activity]]&amp;Tabelle5[[#This Row],[ActivityTSF]]&amp;Tabelle5[[#This Row],[productCategory]]</f>
        <v>Low vegetablesHarvest (Brassica only)NAother</v>
      </c>
      <c r="B82" t="s">
        <v>691</v>
      </c>
      <c r="C82" t="s">
        <v>691</v>
      </c>
      <c r="D82" t="s">
        <v>647</v>
      </c>
      <c r="E82" t="s">
        <v>627</v>
      </c>
      <c r="F82" s="109">
        <v>8</v>
      </c>
      <c r="G82" s="109" t="s">
        <v>675</v>
      </c>
      <c r="H82" s="109" t="s">
        <v>627</v>
      </c>
      <c r="I82" s="109">
        <v>5000</v>
      </c>
      <c r="J82" s="109" t="s">
        <v>627</v>
      </c>
      <c r="K82" t="s">
        <v>627</v>
      </c>
      <c r="L82">
        <v>1</v>
      </c>
      <c r="M82" t="s">
        <v>677</v>
      </c>
      <c r="N82" s="109" t="s">
        <v>627</v>
      </c>
    </row>
    <row r="83" spans="1:14" hidden="1">
      <c r="A83" t="str">
        <f>Tabelle5[[#This Row],[Crop]]&amp;Tabelle5[[#This Row],[Activity]]&amp;Tabelle5[[#This Row],[ActivityTSF]]&amp;Tabelle5[[#This Row],[productCategory]]</f>
        <v>Low vegetablesHarvest (Brassica only)Harvesting, including cutting and bundlingherbicide</v>
      </c>
      <c r="B83" t="s">
        <v>691</v>
      </c>
      <c r="C83" t="s">
        <v>691</v>
      </c>
      <c r="D83" t="s">
        <v>647</v>
      </c>
      <c r="E83" t="s">
        <v>652</v>
      </c>
      <c r="F83" s="109">
        <v>8</v>
      </c>
      <c r="G83" s="109" t="s">
        <v>675</v>
      </c>
      <c r="H83" s="109" t="s">
        <v>627</v>
      </c>
      <c r="I83" s="109">
        <v>5000</v>
      </c>
      <c r="J83" s="109" t="s">
        <v>627</v>
      </c>
      <c r="K83" t="s">
        <v>627</v>
      </c>
      <c r="L83">
        <v>1</v>
      </c>
      <c r="M83" t="s">
        <v>676</v>
      </c>
      <c r="N83" s="109">
        <v>0.01</v>
      </c>
    </row>
    <row r="84" spans="1:14" hidden="1">
      <c r="A84" t="str">
        <f>Tabelle5[[#This Row],[Crop]]&amp;Tabelle5[[#This Row],[Activity]]&amp;Tabelle5[[#This Row],[ActivityTSF]]&amp;Tabelle5[[#This Row],[productCategory]]</f>
        <v>Low vegetablesHarvest (Brassica only)Harvesting, including cutting and bundlingother</v>
      </c>
      <c r="B84" t="s">
        <v>691</v>
      </c>
      <c r="C84" t="s">
        <v>691</v>
      </c>
      <c r="D84" t="s">
        <v>647</v>
      </c>
      <c r="E84" t="s">
        <v>652</v>
      </c>
      <c r="F84" s="109">
        <v>8</v>
      </c>
      <c r="G84" s="109" t="s">
        <v>675</v>
      </c>
      <c r="H84" s="109" t="s">
        <v>627</v>
      </c>
      <c r="I84" s="109">
        <v>5000</v>
      </c>
      <c r="J84" s="109" t="s">
        <v>627</v>
      </c>
      <c r="K84" t="s">
        <v>627</v>
      </c>
      <c r="L84">
        <v>1</v>
      </c>
      <c r="M84" t="s">
        <v>677</v>
      </c>
      <c r="N84" s="109">
        <v>0.1</v>
      </c>
    </row>
    <row r="85" spans="1:14" hidden="1">
      <c r="A85" t="str">
        <f>Tabelle5[[#This Row],[Crop]]&amp;Tabelle5[[#This Row],[Activity]]&amp;Tabelle5[[#This Row],[ActivityTSF]]&amp;Tabelle5[[#This Row],[productCategory]]</f>
        <v>Low vegetablesInspection, irrigation (all)General maintenanceherbicide</v>
      </c>
      <c r="B85" t="s">
        <v>691</v>
      </c>
      <c r="C85" t="s">
        <v>674</v>
      </c>
      <c r="D85" t="s">
        <v>645</v>
      </c>
      <c r="E85" t="s">
        <v>651</v>
      </c>
      <c r="F85" s="109">
        <v>8</v>
      </c>
      <c r="G85" s="109" t="s">
        <v>675</v>
      </c>
      <c r="H85" s="109">
        <v>12500</v>
      </c>
      <c r="I85" s="109">
        <v>1400</v>
      </c>
      <c r="J85" s="109">
        <v>1250</v>
      </c>
      <c r="K85" t="s">
        <v>627</v>
      </c>
      <c r="L85">
        <v>1</v>
      </c>
      <c r="M85" t="s">
        <v>676</v>
      </c>
      <c r="N85" s="109">
        <v>0.01</v>
      </c>
    </row>
    <row r="86" spans="1:14" hidden="1">
      <c r="A86" t="str">
        <f>Tabelle5[[#This Row],[Crop]]&amp;Tabelle5[[#This Row],[Activity]]&amp;Tabelle5[[#This Row],[ActivityTSF]]&amp;Tabelle5[[#This Row],[productCategory]]</f>
        <v>Low vegetablesInspection, irrigation (all)General maintenanceother</v>
      </c>
      <c r="B86" t="s">
        <v>691</v>
      </c>
      <c r="C86" t="s">
        <v>674</v>
      </c>
      <c r="D86" t="s">
        <v>645</v>
      </c>
      <c r="E86" t="s">
        <v>651</v>
      </c>
      <c r="F86" s="109">
        <v>8</v>
      </c>
      <c r="G86" s="109" t="s">
        <v>675</v>
      </c>
      <c r="H86" s="109">
        <v>12500</v>
      </c>
      <c r="I86" s="109">
        <v>1400</v>
      </c>
      <c r="J86" s="109">
        <v>1250</v>
      </c>
      <c r="K86" t="s">
        <v>627</v>
      </c>
      <c r="L86">
        <v>1</v>
      </c>
      <c r="M86" t="s">
        <v>677</v>
      </c>
      <c r="N86" s="109">
        <v>0.01</v>
      </c>
    </row>
    <row r="87" spans="1:14" hidden="1">
      <c r="A87" t="str">
        <f>Tabelle5[[#This Row],[Crop]]&amp;Tabelle5[[#This Row],[Activity]]&amp;Tabelle5[[#This Row],[ActivityTSF]]&amp;Tabelle5[[#This Row],[productCategory]]</f>
        <v>Low vegetablesInspection, irrigation (all)NAherbicide</v>
      </c>
      <c r="B87" t="s">
        <v>691</v>
      </c>
      <c r="C87" t="s">
        <v>674</v>
      </c>
      <c r="D87" t="s">
        <v>645</v>
      </c>
      <c r="E87" t="s">
        <v>627</v>
      </c>
      <c r="F87" s="109">
        <v>2</v>
      </c>
      <c r="G87" s="109" t="s">
        <v>675</v>
      </c>
      <c r="H87" s="109">
        <v>12500</v>
      </c>
      <c r="I87" s="109">
        <v>1400</v>
      </c>
      <c r="J87" s="109">
        <v>1250</v>
      </c>
      <c r="K87" t="s">
        <v>627</v>
      </c>
      <c r="L87">
        <v>1</v>
      </c>
      <c r="M87" t="s">
        <v>676</v>
      </c>
      <c r="N87" s="109" t="s">
        <v>627</v>
      </c>
    </row>
    <row r="88" spans="1:14" hidden="1">
      <c r="A88" t="str">
        <f>Tabelle5[[#This Row],[Crop]]&amp;Tabelle5[[#This Row],[Activity]]&amp;Tabelle5[[#This Row],[ActivityTSF]]&amp;Tabelle5[[#This Row],[productCategory]]</f>
        <v>Low vegetablesInspection, irrigation (all)NAother</v>
      </c>
      <c r="B88" t="s">
        <v>691</v>
      </c>
      <c r="C88" t="s">
        <v>674</v>
      </c>
      <c r="D88" t="s">
        <v>645</v>
      </c>
      <c r="E88" t="s">
        <v>627</v>
      </c>
      <c r="F88" s="109">
        <v>2</v>
      </c>
      <c r="G88" s="109" t="s">
        <v>675</v>
      </c>
      <c r="H88" s="109">
        <v>12500</v>
      </c>
      <c r="I88" s="109">
        <v>1400</v>
      </c>
      <c r="J88" s="109">
        <v>1250</v>
      </c>
      <c r="K88" t="s">
        <v>627</v>
      </c>
      <c r="L88">
        <v>1</v>
      </c>
      <c r="M88" t="s">
        <v>677</v>
      </c>
      <c r="N88" s="109" t="s">
        <v>627</v>
      </c>
    </row>
    <row r="89" spans="1:14" hidden="1">
      <c r="A89" t="str">
        <f>Tabelle5[[#This Row],[Crop]]&amp;Tabelle5[[#This Row],[Activity]]&amp;Tabelle5[[#This Row],[ActivityTSF]]&amp;Tabelle5[[#This Row],[productCategory]]</f>
        <v>Low vegetablesInspection, irrigation (all)Inspection, wateringherbicide</v>
      </c>
      <c r="B89" t="s">
        <v>691</v>
      </c>
      <c r="C89" t="s">
        <v>674</v>
      </c>
      <c r="D89" t="s">
        <v>645</v>
      </c>
      <c r="E89" t="s">
        <v>650</v>
      </c>
      <c r="F89" s="109">
        <v>2</v>
      </c>
      <c r="G89" s="109" t="s">
        <v>675</v>
      </c>
      <c r="H89" s="109">
        <v>12500</v>
      </c>
      <c r="I89" s="109">
        <v>1400</v>
      </c>
      <c r="J89" s="109">
        <v>1250</v>
      </c>
      <c r="K89" t="s">
        <v>627</v>
      </c>
      <c r="L89">
        <v>1</v>
      </c>
      <c r="M89" t="s">
        <v>676</v>
      </c>
      <c r="N89" s="109">
        <v>0.01</v>
      </c>
    </row>
    <row r="90" spans="1:14" hidden="1">
      <c r="A90" t="str">
        <f>Tabelle5[[#This Row],[Crop]]&amp;Tabelle5[[#This Row],[Activity]]&amp;Tabelle5[[#This Row],[ActivityTSF]]&amp;Tabelle5[[#This Row],[productCategory]]</f>
        <v>Low vegetablesInspection, irrigation (all)Inspection, wateringother</v>
      </c>
      <c r="B90" t="s">
        <v>691</v>
      </c>
      <c r="C90" t="s">
        <v>674</v>
      </c>
      <c r="D90" t="s">
        <v>645</v>
      </c>
      <c r="E90" t="s">
        <v>650</v>
      </c>
      <c r="F90" s="109">
        <v>2</v>
      </c>
      <c r="G90" s="109" t="s">
        <v>675</v>
      </c>
      <c r="H90" s="109">
        <v>12500</v>
      </c>
      <c r="I90" s="109">
        <v>1400</v>
      </c>
      <c r="J90" s="109">
        <v>1250</v>
      </c>
      <c r="K90" t="s">
        <v>627</v>
      </c>
      <c r="L90">
        <v>1</v>
      </c>
      <c r="M90" t="s">
        <v>677</v>
      </c>
      <c r="N90" s="109">
        <v>0.01</v>
      </c>
    </row>
    <row r="91" spans="1:14" hidden="1">
      <c r="A91" t="str">
        <f>Tabelle5[[#This Row],[Crop]]&amp;Tabelle5[[#This Row],[Activity]]&amp;Tabelle5[[#This Row],[ActivityTSF]]&amp;Tabelle5[[#This Row],[productCategory]]</f>
        <v>Low vegetablesMaintenance (Brassica only)NAherbicide</v>
      </c>
      <c r="B91" t="s">
        <v>691</v>
      </c>
      <c r="C91" t="s">
        <v>691</v>
      </c>
      <c r="D91" t="s">
        <v>648</v>
      </c>
      <c r="E91" t="s">
        <v>627</v>
      </c>
      <c r="F91" s="109">
        <v>8</v>
      </c>
      <c r="G91" s="109" t="s">
        <v>675</v>
      </c>
      <c r="H91" s="109" t="s">
        <v>627</v>
      </c>
      <c r="I91" s="109">
        <v>5000</v>
      </c>
      <c r="J91" s="109" t="s">
        <v>627</v>
      </c>
      <c r="K91" t="s">
        <v>627</v>
      </c>
      <c r="L91">
        <v>1</v>
      </c>
      <c r="M91" t="s">
        <v>676</v>
      </c>
      <c r="N91" s="109" t="s">
        <v>627</v>
      </c>
    </row>
    <row r="92" spans="1:14" hidden="1">
      <c r="A92" t="str">
        <f>Tabelle5[[#This Row],[Crop]]&amp;Tabelle5[[#This Row],[Activity]]&amp;Tabelle5[[#This Row],[ActivityTSF]]&amp;Tabelle5[[#This Row],[productCategory]]</f>
        <v>Low vegetablesMaintenance (Brassica only)NAother</v>
      </c>
      <c r="B92" t="s">
        <v>691</v>
      </c>
      <c r="C92" t="s">
        <v>691</v>
      </c>
      <c r="D92" t="s">
        <v>648</v>
      </c>
      <c r="E92" t="s">
        <v>627</v>
      </c>
      <c r="F92" s="109">
        <v>8</v>
      </c>
      <c r="G92" s="109" t="s">
        <v>675</v>
      </c>
      <c r="H92" s="109" t="s">
        <v>627</v>
      </c>
      <c r="I92" s="109">
        <v>5000</v>
      </c>
      <c r="J92" s="109" t="s">
        <v>627</v>
      </c>
      <c r="K92" t="s">
        <v>627</v>
      </c>
      <c r="L92">
        <v>1</v>
      </c>
      <c r="M92" t="s">
        <v>677</v>
      </c>
      <c r="N92" s="109" t="s">
        <v>627</v>
      </c>
    </row>
    <row r="93" spans="1:14" hidden="1">
      <c r="A93" t="str">
        <f>Tabelle5[[#This Row],[Crop]]&amp;Tabelle5[[#This Row],[Activity]]&amp;Tabelle5[[#This Row],[ActivityTSF]]&amp;Tabelle5[[#This Row],[productCategory]]</f>
        <v>Low vegetablesMaintenance (Brassica only)General maintenanceherbicide</v>
      </c>
      <c r="B93" t="s">
        <v>691</v>
      </c>
      <c r="C93" t="s">
        <v>691</v>
      </c>
      <c r="D93" t="s">
        <v>648</v>
      </c>
      <c r="E93" t="s">
        <v>651</v>
      </c>
      <c r="F93" s="109">
        <v>8</v>
      </c>
      <c r="G93" s="109" t="s">
        <v>675</v>
      </c>
      <c r="H93" s="109" t="s">
        <v>627</v>
      </c>
      <c r="I93" s="109">
        <v>5000</v>
      </c>
      <c r="J93" s="109" t="s">
        <v>627</v>
      </c>
      <c r="K93" t="s">
        <v>627</v>
      </c>
      <c r="L93">
        <v>1</v>
      </c>
      <c r="M93" t="s">
        <v>676</v>
      </c>
      <c r="N93" s="109">
        <v>0.01</v>
      </c>
    </row>
    <row r="94" spans="1:14" hidden="1">
      <c r="A94" t="str">
        <f>Tabelle5[[#This Row],[Crop]]&amp;Tabelle5[[#This Row],[Activity]]&amp;Tabelle5[[#This Row],[ActivityTSF]]&amp;Tabelle5[[#This Row],[productCategory]]</f>
        <v>Low vegetablesMaintenance (Brassica only)General maintenanceother</v>
      </c>
      <c r="B94" t="s">
        <v>691</v>
      </c>
      <c r="C94" t="s">
        <v>691</v>
      </c>
      <c r="D94" t="s">
        <v>648</v>
      </c>
      <c r="E94" t="s">
        <v>651</v>
      </c>
      <c r="F94" s="109">
        <v>8</v>
      </c>
      <c r="G94" s="109" t="s">
        <v>675</v>
      </c>
      <c r="H94" s="109" t="s">
        <v>627</v>
      </c>
      <c r="I94" s="109">
        <v>5000</v>
      </c>
      <c r="J94" s="109" t="s">
        <v>627</v>
      </c>
      <c r="K94" t="s">
        <v>627</v>
      </c>
      <c r="L94">
        <v>1</v>
      </c>
      <c r="M94" t="s">
        <v>677</v>
      </c>
      <c r="N94" s="109">
        <v>0.01</v>
      </c>
    </row>
    <row r="95" spans="1:14" hidden="1">
      <c r="A95" t="str">
        <f>Tabelle5[[#This Row],[Crop]]&amp;Tabelle5[[#This Row],[Activity]]&amp;Tabelle5[[#This Row],[ActivityTSF]]&amp;Tabelle5[[#This Row],[productCategory]]</f>
        <v>Low vegetablesReaching, picking (all except Brassica)NAherbicide</v>
      </c>
      <c r="B95" t="s">
        <v>691</v>
      </c>
      <c r="C95" t="s">
        <v>691</v>
      </c>
      <c r="D95" t="s">
        <v>642</v>
      </c>
      <c r="E95" t="s">
        <v>627</v>
      </c>
      <c r="F95" s="109">
        <v>8</v>
      </c>
      <c r="G95" s="109" t="s">
        <v>675</v>
      </c>
      <c r="H95" s="109">
        <v>5800</v>
      </c>
      <c r="I95" s="109">
        <v>2500</v>
      </c>
      <c r="J95" s="109">
        <v>580</v>
      </c>
      <c r="K95" t="s">
        <v>627</v>
      </c>
      <c r="L95">
        <v>1</v>
      </c>
      <c r="M95" t="s">
        <v>676</v>
      </c>
      <c r="N95" s="109" t="s">
        <v>627</v>
      </c>
    </row>
    <row r="96" spans="1:14" hidden="1">
      <c r="A96" t="str">
        <f>Tabelle5[[#This Row],[Crop]]&amp;Tabelle5[[#This Row],[Activity]]&amp;Tabelle5[[#This Row],[ActivityTSF]]&amp;Tabelle5[[#This Row],[productCategory]]</f>
        <v>Low vegetablesReaching, picking (all except Brassica)NAother</v>
      </c>
      <c r="B96" t="s">
        <v>691</v>
      </c>
      <c r="C96" t="s">
        <v>691</v>
      </c>
      <c r="D96" t="s">
        <v>642</v>
      </c>
      <c r="E96" t="s">
        <v>627</v>
      </c>
      <c r="F96" s="109">
        <v>8</v>
      </c>
      <c r="G96" s="109" t="s">
        <v>675</v>
      </c>
      <c r="H96" s="109">
        <v>5800</v>
      </c>
      <c r="I96" s="109">
        <v>2500</v>
      </c>
      <c r="J96" s="109">
        <v>580</v>
      </c>
      <c r="K96" t="s">
        <v>627</v>
      </c>
      <c r="L96">
        <v>1</v>
      </c>
      <c r="M96" t="s">
        <v>677</v>
      </c>
      <c r="N96" s="109" t="s">
        <v>627</v>
      </c>
    </row>
    <row r="97" spans="1:14" hidden="1">
      <c r="A97" t="str">
        <f>Tabelle5[[#This Row],[Crop]]&amp;Tabelle5[[#This Row],[Activity]]&amp;Tabelle5[[#This Row],[ActivityTSF]]&amp;Tabelle5[[#This Row],[productCategory]]</f>
        <v>Low vegetablesReaching, picking (all except Brassica)Harvesting, including cutting and bundlingherbicide</v>
      </c>
      <c r="B97" t="s">
        <v>691</v>
      </c>
      <c r="C97" t="s">
        <v>691</v>
      </c>
      <c r="D97" t="s">
        <v>642</v>
      </c>
      <c r="E97" t="s">
        <v>652</v>
      </c>
      <c r="F97" s="109">
        <v>8</v>
      </c>
      <c r="G97" s="109" t="s">
        <v>675</v>
      </c>
      <c r="H97" s="109">
        <v>5800</v>
      </c>
      <c r="I97" s="109">
        <v>2500</v>
      </c>
      <c r="J97" s="109">
        <v>580</v>
      </c>
      <c r="K97" t="s">
        <v>627</v>
      </c>
      <c r="L97">
        <v>1</v>
      </c>
      <c r="M97" t="s">
        <v>676</v>
      </c>
      <c r="N97" s="109">
        <v>0.01</v>
      </c>
    </row>
    <row r="98" spans="1:14" hidden="1">
      <c r="A98" t="str">
        <f>Tabelle5[[#This Row],[Crop]]&amp;Tabelle5[[#This Row],[Activity]]&amp;Tabelle5[[#This Row],[ActivityTSF]]&amp;Tabelle5[[#This Row],[productCategory]]</f>
        <v>Low vegetablesReaching, picking (all except Brassica)Harvesting, including cutting and bundlingother</v>
      </c>
      <c r="B98" t="s">
        <v>691</v>
      </c>
      <c r="C98" t="s">
        <v>691</v>
      </c>
      <c r="D98" t="s">
        <v>642</v>
      </c>
      <c r="E98" t="s">
        <v>652</v>
      </c>
      <c r="F98" s="109">
        <v>8</v>
      </c>
      <c r="G98" s="109" t="s">
        <v>675</v>
      </c>
      <c r="H98" s="109">
        <v>5800</v>
      </c>
      <c r="I98" s="109">
        <v>2500</v>
      </c>
      <c r="J98" s="109">
        <v>580</v>
      </c>
      <c r="K98" t="s">
        <v>627</v>
      </c>
      <c r="L98">
        <v>1</v>
      </c>
      <c r="M98" t="s">
        <v>677</v>
      </c>
      <c r="N98" s="109">
        <v>0.1</v>
      </c>
    </row>
    <row r="99" spans="1:14" hidden="1">
      <c r="A99" t="str">
        <f>Tabelle5[[#This Row],[Crop]]&amp;Tabelle5[[#This Row],[Activity]]&amp;Tabelle5[[#This Row],[ActivityTSF]]&amp;Tabelle5[[#This Row],[productCategory]]</f>
        <v>Low vegetablesremoving bolting sugar beetsNAherbicide</v>
      </c>
      <c r="B99" t="s">
        <v>691</v>
      </c>
      <c r="C99" t="s">
        <v>691</v>
      </c>
      <c r="D99" t="s">
        <v>692</v>
      </c>
      <c r="E99" t="s">
        <v>627</v>
      </c>
      <c r="F99" s="109">
        <v>8</v>
      </c>
      <c r="G99" s="109" t="s">
        <v>675</v>
      </c>
      <c r="H99" s="109">
        <v>18600</v>
      </c>
      <c r="I99" s="109">
        <v>4400</v>
      </c>
      <c r="J99" s="109">
        <v>430</v>
      </c>
      <c r="K99" s="109">
        <v>14300</v>
      </c>
      <c r="L99">
        <v>0</v>
      </c>
      <c r="M99" t="s">
        <v>676</v>
      </c>
      <c r="N99" s="109" t="s">
        <v>627</v>
      </c>
    </row>
    <row r="100" spans="1:14" hidden="1">
      <c r="A100" t="str">
        <f>Tabelle5[[#This Row],[Crop]]&amp;Tabelle5[[#This Row],[Activity]]&amp;Tabelle5[[#This Row],[ActivityTSF]]&amp;Tabelle5[[#This Row],[productCategory]]</f>
        <v>Low vegetablesremoving bolting sugar beetsNAother</v>
      </c>
      <c r="B100" t="s">
        <v>691</v>
      </c>
      <c r="C100" t="s">
        <v>691</v>
      </c>
      <c r="D100" t="s">
        <v>692</v>
      </c>
      <c r="E100" t="s">
        <v>627</v>
      </c>
      <c r="F100" s="109">
        <v>8</v>
      </c>
      <c r="G100" s="109" t="s">
        <v>675</v>
      </c>
      <c r="H100" s="109">
        <v>18600</v>
      </c>
      <c r="I100" s="109">
        <v>4400</v>
      </c>
      <c r="J100" s="109">
        <v>430</v>
      </c>
      <c r="K100" s="109">
        <v>14300</v>
      </c>
      <c r="L100">
        <v>0</v>
      </c>
      <c r="M100" t="s">
        <v>677</v>
      </c>
      <c r="N100" s="109" t="s">
        <v>627</v>
      </c>
    </row>
    <row r="101" spans="1:14" hidden="1">
      <c r="A101" t="str">
        <f>Tabelle5[[#This Row],[Crop]]&amp;Tabelle5[[#This Row],[Activity]]&amp;Tabelle5[[#This Row],[ActivityTSF]]&amp;Tabelle5[[#This Row],[productCategory]]</f>
        <v>Oil fruitsSearching, reaching, pickingNAherbicide</v>
      </c>
      <c r="B101" t="s">
        <v>693</v>
      </c>
      <c r="C101" t="s">
        <v>616</v>
      </c>
      <c r="D101" t="s">
        <v>632</v>
      </c>
      <c r="E101" t="s">
        <v>627</v>
      </c>
      <c r="F101" s="109">
        <v>8</v>
      </c>
      <c r="G101" s="109" t="s">
        <v>675</v>
      </c>
      <c r="H101" s="109">
        <v>12500</v>
      </c>
      <c r="I101" s="109">
        <v>1400</v>
      </c>
      <c r="J101" s="109">
        <v>1250</v>
      </c>
      <c r="K101" t="s">
        <v>627</v>
      </c>
      <c r="L101">
        <v>1</v>
      </c>
      <c r="M101" t="s">
        <v>676</v>
      </c>
      <c r="N101" s="109" t="s">
        <v>627</v>
      </c>
    </row>
    <row r="102" spans="1:14" hidden="1">
      <c r="A102" t="str">
        <f>Tabelle5[[#This Row],[Crop]]&amp;Tabelle5[[#This Row],[Activity]]&amp;Tabelle5[[#This Row],[ActivityTSF]]&amp;Tabelle5[[#This Row],[productCategory]]</f>
        <v>Oil fruitsInspection, irrigationNAherbicide</v>
      </c>
      <c r="B102" t="s">
        <v>693</v>
      </c>
      <c r="C102" t="s">
        <v>674</v>
      </c>
      <c r="D102" t="s">
        <v>623</v>
      </c>
      <c r="E102" t="s">
        <v>627</v>
      </c>
      <c r="F102" s="109">
        <v>2</v>
      </c>
      <c r="G102" s="109" t="s">
        <v>675</v>
      </c>
      <c r="H102" s="109">
        <v>12500</v>
      </c>
      <c r="I102" s="109">
        <v>1400</v>
      </c>
      <c r="J102" s="109">
        <v>1250</v>
      </c>
      <c r="K102" t="s">
        <v>627</v>
      </c>
      <c r="L102">
        <v>1</v>
      </c>
      <c r="M102" t="s">
        <v>676</v>
      </c>
      <c r="N102" s="109" t="s">
        <v>627</v>
      </c>
    </row>
    <row r="103" spans="1:14" hidden="1">
      <c r="A103" t="str">
        <f>Tabelle5[[#This Row],[Crop]]&amp;Tabelle5[[#This Row],[Activity]]&amp;Tabelle5[[#This Row],[ActivityTSF]]&amp;Tabelle5[[#This Row],[productCategory]]</f>
        <v>Oil fruitsInspection, irrigationNAother</v>
      </c>
      <c r="B103" t="s">
        <v>693</v>
      </c>
      <c r="C103" t="s">
        <v>674</v>
      </c>
      <c r="D103" t="s">
        <v>623</v>
      </c>
      <c r="E103" t="s">
        <v>627</v>
      </c>
      <c r="F103" s="109">
        <v>2</v>
      </c>
      <c r="G103" s="109" t="s">
        <v>675</v>
      </c>
      <c r="H103" s="109">
        <v>12500</v>
      </c>
      <c r="I103" s="109">
        <v>1400</v>
      </c>
      <c r="J103" s="109">
        <v>1250</v>
      </c>
      <c r="K103" t="s">
        <v>627</v>
      </c>
      <c r="L103">
        <v>1</v>
      </c>
      <c r="M103" t="s">
        <v>677</v>
      </c>
      <c r="N103" s="109" t="s">
        <v>627</v>
      </c>
    </row>
    <row r="104" spans="1:14" hidden="1">
      <c r="A104" t="str">
        <f>Tabelle5[[#This Row],[Crop]]&amp;Tabelle5[[#This Row],[Activity]]&amp;Tabelle5[[#This Row],[ActivityTSF]]&amp;Tabelle5[[#This Row],[productCategory]]</f>
        <v>Oil fruitsMaintenance/thinningNAherbicide</v>
      </c>
      <c r="B104" t="s">
        <v>693</v>
      </c>
      <c r="C104" t="s">
        <v>616</v>
      </c>
      <c r="D104" t="s">
        <v>625</v>
      </c>
      <c r="E104" t="s">
        <v>627</v>
      </c>
      <c r="F104" s="109">
        <v>8</v>
      </c>
      <c r="G104" s="109" t="s">
        <v>675</v>
      </c>
      <c r="H104" s="109">
        <v>12500</v>
      </c>
      <c r="I104" s="109">
        <v>1400</v>
      </c>
      <c r="J104" s="109">
        <v>1250</v>
      </c>
      <c r="K104" t="s">
        <v>627</v>
      </c>
      <c r="L104">
        <v>1</v>
      </c>
      <c r="M104" t="s">
        <v>676</v>
      </c>
      <c r="N104" t="s">
        <v>627</v>
      </c>
    </row>
    <row r="105" spans="1:14" hidden="1">
      <c r="A105" t="str">
        <f>Tabelle5[[#This Row],[Crop]]&amp;Tabelle5[[#This Row],[Activity]]&amp;Tabelle5[[#This Row],[ActivityTSF]]&amp;Tabelle5[[#This Row],[productCategory]]</f>
        <v>Oil fruitsMaintenance/thinningNAother</v>
      </c>
      <c r="B105" t="s">
        <v>693</v>
      </c>
      <c r="C105" t="s">
        <v>616</v>
      </c>
      <c r="D105" t="s">
        <v>625</v>
      </c>
      <c r="E105" t="s">
        <v>627</v>
      </c>
      <c r="F105" s="109">
        <v>8</v>
      </c>
      <c r="G105" s="109" t="s">
        <v>675</v>
      </c>
      <c r="H105" s="109">
        <v>22500</v>
      </c>
      <c r="I105" s="109">
        <v>4500</v>
      </c>
      <c r="J105" s="109">
        <v>2250</v>
      </c>
      <c r="K105" t="s">
        <v>627</v>
      </c>
      <c r="L105">
        <v>1</v>
      </c>
      <c r="M105" t="s">
        <v>677</v>
      </c>
      <c r="N105" s="109" t="s">
        <v>627</v>
      </c>
    </row>
    <row r="106" spans="1:14" hidden="1">
      <c r="A106" t="str">
        <f>Tabelle5[[#This Row],[Crop]]&amp;Tabelle5[[#This Row],[Activity]]&amp;Tabelle5[[#This Row],[ActivityTSF]]&amp;Tabelle5[[#This Row],[productCategory]]</f>
        <v>Oil fruitsSearching, reaching, pickingNAother</v>
      </c>
      <c r="B106" t="s">
        <v>693</v>
      </c>
      <c r="C106" t="s">
        <v>616</v>
      </c>
      <c r="D106" t="s">
        <v>632</v>
      </c>
      <c r="E106" t="s">
        <v>627</v>
      </c>
      <c r="F106" s="109">
        <v>8</v>
      </c>
      <c r="G106" s="109" t="s">
        <v>675</v>
      </c>
      <c r="H106" s="109">
        <v>12500</v>
      </c>
      <c r="I106" s="109">
        <v>3500</v>
      </c>
      <c r="J106" s="109">
        <v>1250</v>
      </c>
      <c r="K106" t="s">
        <v>627</v>
      </c>
      <c r="L106">
        <v>1</v>
      </c>
      <c r="M106" t="s">
        <v>677</v>
      </c>
      <c r="N106" s="109" t="s">
        <v>627</v>
      </c>
    </row>
    <row r="107" spans="1:14" hidden="1">
      <c r="A107" t="str">
        <f>Tabelle5[[#This Row],[Crop]]&amp;Tabelle5[[#This Row],[Activity]]&amp;Tabelle5[[#This Row],[ActivityTSF]]&amp;Tabelle5[[#This Row],[productCategory]]</f>
        <v>OrchardsSearching, reaching, pickingNAherbicide</v>
      </c>
      <c r="B107" t="s">
        <v>616</v>
      </c>
      <c r="C107" t="s">
        <v>616</v>
      </c>
      <c r="D107" t="s">
        <v>632</v>
      </c>
      <c r="E107" t="s">
        <v>627</v>
      </c>
      <c r="F107" s="109">
        <v>8</v>
      </c>
      <c r="G107" s="109" t="s">
        <v>675</v>
      </c>
      <c r="H107" s="109">
        <v>12500</v>
      </c>
      <c r="I107" s="109">
        <v>1400</v>
      </c>
      <c r="J107" s="109">
        <v>1250</v>
      </c>
      <c r="K107" t="s">
        <v>627</v>
      </c>
      <c r="L107">
        <v>1</v>
      </c>
      <c r="M107" t="s">
        <v>676</v>
      </c>
      <c r="N107" t="s">
        <v>627</v>
      </c>
    </row>
    <row r="108" spans="1:14" hidden="1">
      <c r="A108" t="str">
        <f>Tabelle5[[#This Row],[Crop]]&amp;Tabelle5[[#This Row],[Activity]]&amp;Tabelle5[[#This Row],[ActivityTSF]]&amp;Tabelle5[[#This Row],[productCategory]]</f>
        <v>OrchardsInspection, irrigationNAherbicide</v>
      </c>
      <c r="B108" t="s">
        <v>616</v>
      </c>
      <c r="C108" t="s">
        <v>674</v>
      </c>
      <c r="D108" t="s">
        <v>623</v>
      </c>
      <c r="E108" t="s">
        <v>627</v>
      </c>
      <c r="F108" s="109">
        <v>2</v>
      </c>
      <c r="G108" s="109" t="s">
        <v>675</v>
      </c>
      <c r="H108" s="109">
        <v>12500</v>
      </c>
      <c r="I108" s="109">
        <v>1400</v>
      </c>
      <c r="J108" s="109">
        <v>1250</v>
      </c>
      <c r="K108" t="s">
        <v>627</v>
      </c>
      <c r="L108">
        <v>1</v>
      </c>
      <c r="M108" t="s">
        <v>676</v>
      </c>
      <c r="N108" s="109" t="s">
        <v>627</v>
      </c>
    </row>
    <row r="109" spans="1:14" hidden="1">
      <c r="A109" t="str">
        <f>Tabelle5[[#This Row],[Crop]]&amp;Tabelle5[[#This Row],[Activity]]&amp;Tabelle5[[#This Row],[ActivityTSF]]&amp;Tabelle5[[#This Row],[productCategory]]</f>
        <v>OrchardsInspection, irrigationNAother</v>
      </c>
      <c r="B109" t="s">
        <v>616</v>
      </c>
      <c r="C109" t="s">
        <v>674</v>
      </c>
      <c r="D109" t="s">
        <v>623</v>
      </c>
      <c r="E109" t="s">
        <v>627</v>
      </c>
      <c r="F109" s="109">
        <v>2</v>
      </c>
      <c r="G109" s="109" t="s">
        <v>675</v>
      </c>
      <c r="H109" s="109">
        <v>12500</v>
      </c>
      <c r="I109" s="109">
        <v>1400</v>
      </c>
      <c r="J109" s="109">
        <v>1250</v>
      </c>
      <c r="K109" t="s">
        <v>627</v>
      </c>
      <c r="L109">
        <v>1</v>
      </c>
      <c r="M109" t="s">
        <v>677</v>
      </c>
      <c r="N109" s="109" t="s">
        <v>627</v>
      </c>
    </row>
    <row r="110" spans="1:14" hidden="1">
      <c r="A110" t="str">
        <f>Tabelle5[[#This Row],[Crop]]&amp;Tabelle5[[#This Row],[Activity]]&amp;Tabelle5[[#This Row],[ActivityTSF]]&amp;Tabelle5[[#This Row],[productCategory]]</f>
        <v>OrchardsMaintenance/thinningNAherbicide</v>
      </c>
      <c r="B110" t="s">
        <v>616</v>
      </c>
      <c r="C110" t="s">
        <v>616</v>
      </c>
      <c r="D110" t="s">
        <v>625</v>
      </c>
      <c r="E110" t="s">
        <v>627</v>
      </c>
      <c r="F110" s="109">
        <v>8</v>
      </c>
      <c r="G110" s="109" t="s">
        <v>675</v>
      </c>
      <c r="H110" s="109">
        <v>12500</v>
      </c>
      <c r="I110" s="109">
        <v>1400</v>
      </c>
      <c r="J110" s="109">
        <v>1250</v>
      </c>
      <c r="K110" t="s">
        <v>627</v>
      </c>
      <c r="L110">
        <v>1</v>
      </c>
      <c r="M110" t="s">
        <v>676</v>
      </c>
      <c r="N110" t="s">
        <v>627</v>
      </c>
    </row>
    <row r="111" spans="1:14" hidden="1">
      <c r="A111" t="str">
        <f>Tabelle5[[#This Row],[Crop]]&amp;Tabelle5[[#This Row],[Activity]]&amp;Tabelle5[[#This Row],[ActivityTSF]]&amp;Tabelle5[[#This Row],[productCategory]]</f>
        <v>OrchardsMaintenance/thinningNAother</v>
      </c>
      <c r="B111" t="s">
        <v>616</v>
      </c>
      <c r="C111" t="s">
        <v>616</v>
      </c>
      <c r="D111" t="s">
        <v>625</v>
      </c>
      <c r="E111" t="s">
        <v>627</v>
      </c>
      <c r="F111" s="109">
        <v>8</v>
      </c>
      <c r="G111" s="109" t="s">
        <v>675</v>
      </c>
      <c r="H111" s="109">
        <v>22500</v>
      </c>
      <c r="I111" s="109">
        <v>4500</v>
      </c>
      <c r="J111" s="109">
        <v>2250</v>
      </c>
      <c r="K111" t="s">
        <v>627</v>
      </c>
      <c r="L111">
        <v>1</v>
      </c>
      <c r="M111" t="s">
        <v>677</v>
      </c>
      <c r="N111" s="109" t="s">
        <v>627</v>
      </c>
    </row>
    <row r="112" spans="1:14" hidden="1">
      <c r="A112" t="str">
        <f>Tabelle5[[#This Row],[Crop]]&amp;Tabelle5[[#This Row],[Activity]]&amp;Tabelle5[[#This Row],[ActivityTSF]]&amp;Tabelle5[[#This Row],[productCategory]]</f>
        <v>OrchardsSearching, reaching, pickingNAother</v>
      </c>
      <c r="B112" t="s">
        <v>616</v>
      </c>
      <c r="C112" t="s">
        <v>616</v>
      </c>
      <c r="D112" t="s">
        <v>632</v>
      </c>
      <c r="E112" t="s">
        <v>627</v>
      </c>
      <c r="F112" s="109">
        <v>8</v>
      </c>
      <c r="G112" s="109" t="s">
        <v>675</v>
      </c>
      <c r="H112" s="109">
        <v>12500</v>
      </c>
      <c r="I112" s="109">
        <v>3500</v>
      </c>
      <c r="J112" s="109">
        <v>1250</v>
      </c>
      <c r="K112" t="s">
        <v>627</v>
      </c>
      <c r="L112">
        <v>1</v>
      </c>
      <c r="M112" t="s">
        <v>677</v>
      </c>
      <c r="N112" s="109" t="s">
        <v>627</v>
      </c>
    </row>
    <row r="113" spans="1:14" hidden="1">
      <c r="A113" t="str">
        <f>Tabelle5[[#This Row],[Crop]]&amp;Tabelle5[[#This Row],[Activity]]&amp;Tabelle5[[#This Row],[ActivityTSF]]&amp;Tabelle5[[#This Row],[productCategory]]</f>
        <v>Strawberry indoorSearching, reaching, pickingHarvesting, including cutting and bundlingherbicide</v>
      </c>
      <c r="B113" t="s">
        <v>694</v>
      </c>
      <c r="C113" t="s">
        <v>688</v>
      </c>
      <c r="D113" t="s">
        <v>632</v>
      </c>
      <c r="E113" t="s">
        <v>652</v>
      </c>
      <c r="F113" s="109">
        <v>8</v>
      </c>
      <c r="G113" s="109" t="s">
        <v>675</v>
      </c>
      <c r="H113" s="109">
        <v>12500</v>
      </c>
      <c r="I113" s="109">
        <v>1400</v>
      </c>
      <c r="J113" s="109">
        <v>1250</v>
      </c>
      <c r="K113" t="s">
        <v>627</v>
      </c>
      <c r="L113">
        <v>1</v>
      </c>
      <c r="M113" t="s">
        <v>676</v>
      </c>
      <c r="N113" s="109">
        <v>0.01</v>
      </c>
    </row>
    <row r="114" spans="1:14" hidden="1">
      <c r="A114" t="str">
        <f>Tabelle5[[#This Row],[Crop]]&amp;Tabelle5[[#This Row],[Activity]]&amp;Tabelle5[[#This Row],[ActivityTSF]]&amp;Tabelle5[[#This Row],[productCategory]]</f>
        <v>Strawberry indoorInspection, irrigationGeneral maintenanceherbicide</v>
      </c>
      <c r="B114" t="s">
        <v>694</v>
      </c>
      <c r="C114" t="s">
        <v>674</v>
      </c>
      <c r="D114" t="s">
        <v>623</v>
      </c>
      <c r="E114" t="s">
        <v>651</v>
      </c>
      <c r="F114" s="109">
        <v>8</v>
      </c>
      <c r="G114" s="109" t="s">
        <v>675</v>
      </c>
      <c r="H114" s="109">
        <v>12500</v>
      </c>
      <c r="I114" s="109">
        <v>1400</v>
      </c>
      <c r="J114" s="109">
        <v>1250</v>
      </c>
      <c r="K114" t="s">
        <v>627</v>
      </c>
      <c r="L114">
        <v>1</v>
      </c>
      <c r="M114" t="s">
        <v>676</v>
      </c>
      <c r="N114" s="109">
        <v>0.01</v>
      </c>
    </row>
    <row r="115" spans="1:14" hidden="1">
      <c r="A115" t="str">
        <f>Tabelle5[[#This Row],[Crop]]&amp;Tabelle5[[#This Row],[Activity]]&amp;Tabelle5[[#This Row],[ActivityTSF]]&amp;Tabelle5[[#This Row],[productCategory]]</f>
        <v>Strawberry indoorInspection, irrigationGeneral maintenanceother</v>
      </c>
      <c r="B115" t="s">
        <v>694</v>
      </c>
      <c r="C115" t="s">
        <v>674</v>
      </c>
      <c r="D115" t="s">
        <v>623</v>
      </c>
      <c r="E115" t="s">
        <v>651</v>
      </c>
      <c r="F115" s="109">
        <v>8</v>
      </c>
      <c r="G115" s="109" t="s">
        <v>675</v>
      </c>
      <c r="H115" s="109">
        <v>12500</v>
      </c>
      <c r="I115" s="109">
        <v>1400</v>
      </c>
      <c r="J115" s="109">
        <v>1250</v>
      </c>
      <c r="K115" t="s">
        <v>627</v>
      </c>
      <c r="L115">
        <v>1</v>
      </c>
      <c r="M115" t="s">
        <v>677</v>
      </c>
      <c r="N115" s="109">
        <v>0.01</v>
      </c>
    </row>
    <row r="116" spans="1:14" hidden="1">
      <c r="A116" t="str">
        <f>Tabelle5[[#This Row],[Crop]]&amp;Tabelle5[[#This Row],[Activity]]&amp;Tabelle5[[#This Row],[ActivityTSF]]&amp;Tabelle5[[#This Row],[productCategory]]</f>
        <v>Strawberry indoorMaintenance/thinningGeneral maintenanceherbicide</v>
      </c>
      <c r="B116" t="s">
        <v>694</v>
      </c>
      <c r="C116" t="s">
        <v>688</v>
      </c>
      <c r="D116" t="s">
        <v>625</v>
      </c>
      <c r="E116" t="s">
        <v>651</v>
      </c>
      <c r="F116" s="109">
        <v>8</v>
      </c>
      <c r="G116" s="109" t="s">
        <v>675</v>
      </c>
      <c r="H116" s="109">
        <v>12500</v>
      </c>
      <c r="I116" s="109">
        <v>1400</v>
      </c>
      <c r="J116" s="109">
        <v>1250</v>
      </c>
      <c r="K116" t="s">
        <v>627</v>
      </c>
      <c r="L116">
        <v>1</v>
      </c>
      <c r="M116" t="s">
        <v>676</v>
      </c>
      <c r="N116" s="109">
        <v>0.01</v>
      </c>
    </row>
    <row r="117" spans="1:14" hidden="1">
      <c r="A117" t="str">
        <f>Tabelle5[[#This Row],[Crop]]&amp;Tabelle5[[#This Row],[Activity]]&amp;Tabelle5[[#This Row],[ActivityTSF]]&amp;Tabelle5[[#This Row],[productCategory]]</f>
        <v>Strawberry indoorMaintenance/thinningGeneral maintenanceother</v>
      </c>
      <c r="B117" t="s">
        <v>694</v>
      </c>
      <c r="C117" t="s">
        <v>688</v>
      </c>
      <c r="D117" t="s">
        <v>625</v>
      </c>
      <c r="E117" t="s">
        <v>651</v>
      </c>
      <c r="F117" s="109">
        <v>8</v>
      </c>
      <c r="G117" s="109" t="s">
        <v>675</v>
      </c>
      <c r="H117" s="109">
        <v>22500</v>
      </c>
      <c r="I117" s="109">
        <v>4500</v>
      </c>
      <c r="J117" s="109">
        <v>2250</v>
      </c>
      <c r="K117" t="s">
        <v>627</v>
      </c>
      <c r="L117">
        <v>1</v>
      </c>
      <c r="M117" t="s">
        <v>677</v>
      </c>
      <c r="N117" s="109">
        <v>0.1</v>
      </c>
    </row>
    <row r="118" spans="1:14" hidden="1">
      <c r="A118" t="str">
        <f>Tabelle5[[#This Row],[Crop]]&amp;Tabelle5[[#This Row],[Activity]]&amp;Tabelle5[[#This Row],[ActivityTSF]]&amp;Tabelle5[[#This Row],[productCategory]]</f>
        <v>Strawberry indoorInspection, irrigationInspection, wateringherbicide</v>
      </c>
      <c r="B118" t="s">
        <v>694</v>
      </c>
      <c r="C118" t="s">
        <v>674</v>
      </c>
      <c r="D118" t="s">
        <v>623</v>
      </c>
      <c r="E118" t="s">
        <v>650</v>
      </c>
      <c r="F118" s="109">
        <v>2</v>
      </c>
      <c r="G118" s="109" t="s">
        <v>675</v>
      </c>
      <c r="H118" s="109">
        <v>12500</v>
      </c>
      <c r="I118" s="109">
        <v>1400</v>
      </c>
      <c r="J118" s="109">
        <v>1250</v>
      </c>
      <c r="K118" t="s">
        <v>627</v>
      </c>
      <c r="L118">
        <v>1</v>
      </c>
      <c r="M118" t="s">
        <v>676</v>
      </c>
      <c r="N118" s="109">
        <v>0.01</v>
      </c>
    </row>
    <row r="119" spans="1:14" hidden="1">
      <c r="A119" t="str">
        <f>Tabelle5[[#This Row],[Crop]]&amp;Tabelle5[[#This Row],[Activity]]&amp;Tabelle5[[#This Row],[ActivityTSF]]&amp;Tabelle5[[#This Row],[productCategory]]</f>
        <v>Strawberry indoorInspection, irrigationInspection, wateringother</v>
      </c>
      <c r="B119" t="s">
        <v>694</v>
      </c>
      <c r="C119" t="s">
        <v>674</v>
      </c>
      <c r="D119" t="s">
        <v>623</v>
      </c>
      <c r="E119" t="s">
        <v>650</v>
      </c>
      <c r="F119" s="109">
        <v>2</v>
      </c>
      <c r="G119" s="109" t="s">
        <v>675</v>
      </c>
      <c r="H119" s="109">
        <v>12500</v>
      </c>
      <c r="I119" s="109">
        <v>1400</v>
      </c>
      <c r="J119" s="109">
        <v>1250</v>
      </c>
      <c r="K119" t="s">
        <v>627</v>
      </c>
      <c r="L119">
        <v>1</v>
      </c>
      <c r="M119" t="s">
        <v>677</v>
      </c>
      <c r="N119" s="109">
        <v>0.01</v>
      </c>
    </row>
    <row r="120" spans="1:14" hidden="1">
      <c r="A120" t="str">
        <f>Tabelle5[[#This Row],[Crop]]&amp;Tabelle5[[#This Row],[Activity]]&amp;Tabelle5[[#This Row],[ActivityTSF]]&amp;Tabelle5[[#This Row],[productCategory]]</f>
        <v>Strawberry indoorSearching, reaching, pickingHarvesting, including cutting and bundlingother</v>
      </c>
      <c r="B120" t="s">
        <v>694</v>
      </c>
      <c r="C120" t="s">
        <v>688</v>
      </c>
      <c r="D120" t="s">
        <v>632</v>
      </c>
      <c r="E120" t="s">
        <v>652</v>
      </c>
      <c r="F120" s="109">
        <v>8</v>
      </c>
      <c r="G120" s="109" t="s">
        <v>675</v>
      </c>
      <c r="H120" s="109">
        <v>12500</v>
      </c>
      <c r="I120" s="109">
        <v>3500</v>
      </c>
      <c r="J120" s="109">
        <v>1250</v>
      </c>
      <c r="K120" t="s">
        <v>627</v>
      </c>
      <c r="L120">
        <v>1</v>
      </c>
      <c r="M120" t="s">
        <v>677</v>
      </c>
      <c r="N120" s="109">
        <v>0.1</v>
      </c>
    </row>
    <row r="121" spans="1:14" hidden="1">
      <c r="A121" t="str">
        <f>Tabelle5[[#This Row],[Crop]]&amp;Tabelle5[[#This Row],[Activity]]&amp;Tabelle5[[#This Row],[ActivityTSF]]&amp;Tabelle5[[#This Row],[productCategory]]</f>
        <v>Strawberry outdoorInspection, irrigationNAherbicide</v>
      </c>
      <c r="B121" t="s">
        <v>695</v>
      </c>
      <c r="C121" t="s">
        <v>674</v>
      </c>
      <c r="D121" t="s">
        <v>623</v>
      </c>
      <c r="E121" t="s">
        <v>627</v>
      </c>
      <c r="F121" s="109">
        <v>2</v>
      </c>
      <c r="G121" s="109" t="s">
        <v>675</v>
      </c>
      <c r="H121" s="109">
        <v>12500</v>
      </c>
      <c r="I121" s="109">
        <v>1400</v>
      </c>
      <c r="J121" s="109">
        <v>1250</v>
      </c>
      <c r="K121" t="s">
        <v>627</v>
      </c>
      <c r="L121">
        <v>1</v>
      </c>
      <c r="M121" t="s">
        <v>676</v>
      </c>
      <c r="N121" s="109" t="s">
        <v>627</v>
      </c>
    </row>
    <row r="122" spans="1:14" hidden="1">
      <c r="A122" t="str">
        <f>Tabelle5[[#This Row],[Crop]]&amp;Tabelle5[[#This Row],[Activity]]&amp;Tabelle5[[#This Row],[ActivityTSF]]&amp;Tabelle5[[#This Row],[productCategory]]</f>
        <v>Strawberry outdoorReaching, pickingNAherbicide</v>
      </c>
      <c r="B122" t="s">
        <v>695</v>
      </c>
      <c r="C122" t="s">
        <v>688</v>
      </c>
      <c r="D122" t="s">
        <v>628</v>
      </c>
      <c r="E122" t="s">
        <v>627</v>
      </c>
      <c r="F122" s="109">
        <v>8</v>
      </c>
      <c r="G122" s="109" t="s">
        <v>689</v>
      </c>
      <c r="H122" s="109">
        <v>5800</v>
      </c>
      <c r="I122" s="109">
        <v>3000</v>
      </c>
      <c r="J122" s="109">
        <v>750</v>
      </c>
      <c r="K122" t="s">
        <v>627</v>
      </c>
      <c r="L122">
        <v>0</v>
      </c>
      <c r="M122" t="s">
        <v>676</v>
      </c>
      <c r="N122" s="109" t="s">
        <v>627</v>
      </c>
    </row>
    <row r="123" spans="1:14" hidden="1">
      <c r="A123" t="str">
        <f>Tabelle5[[#This Row],[Crop]]&amp;Tabelle5[[#This Row],[Activity]]&amp;Tabelle5[[#This Row],[ActivityTSF]]&amp;Tabelle5[[#This Row],[productCategory]]</f>
        <v>Strawberry outdoorInspection, irrigationNAother</v>
      </c>
      <c r="B123" t="s">
        <v>695</v>
      </c>
      <c r="C123" t="s">
        <v>674</v>
      </c>
      <c r="D123" t="s">
        <v>623</v>
      </c>
      <c r="E123" t="s">
        <v>627</v>
      </c>
      <c r="F123" s="109">
        <v>2</v>
      </c>
      <c r="G123" s="109" t="s">
        <v>675</v>
      </c>
      <c r="H123" s="109">
        <v>12500</v>
      </c>
      <c r="I123" s="109">
        <v>1400</v>
      </c>
      <c r="J123" s="109">
        <v>1250</v>
      </c>
      <c r="K123" t="s">
        <v>627</v>
      </c>
      <c r="L123">
        <v>1</v>
      </c>
      <c r="M123" t="s">
        <v>677</v>
      </c>
      <c r="N123" s="109" t="s">
        <v>627</v>
      </c>
    </row>
    <row r="124" spans="1:14" hidden="1">
      <c r="A124" t="str">
        <f>Tabelle5[[#This Row],[Crop]]&amp;Tabelle5[[#This Row],[Activity]]&amp;Tabelle5[[#This Row],[ActivityTSF]]&amp;Tabelle5[[#This Row],[productCategory]]</f>
        <v>Strawberry outdoorReaching, pickingNAother</v>
      </c>
      <c r="B124" t="s">
        <v>695</v>
      </c>
      <c r="C124" t="s">
        <v>688</v>
      </c>
      <c r="D124" t="s">
        <v>628</v>
      </c>
      <c r="E124" t="s">
        <v>627</v>
      </c>
      <c r="F124" s="109">
        <v>8</v>
      </c>
      <c r="G124" s="109" t="s">
        <v>689</v>
      </c>
      <c r="H124" s="109">
        <v>5800</v>
      </c>
      <c r="I124" s="109">
        <v>3000</v>
      </c>
      <c r="J124" s="109">
        <v>750</v>
      </c>
      <c r="K124" t="s">
        <v>627</v>
      </c>
      <c r="L124">
        <v>0</v>
      </c>
      <c r="M124" t="s">
        <v>677</v>
      </c>
      <c r="N124" s="109" t="s">
        <v>627</v>
      </c>
    </row>
    <row r="125" spans="1:14" hidden="1">
      <c r="A125" t="str">
        <f>Tabelle5[[#This Row],[Crop]]&amp;Tabelle5[[#This Row],[Activity]]&amp;Tabelle5[[#This Row],[ActivityTSF]]&amp;Tabelle5[[#This Row],[productCategory]]</f>
        <v>ViticultureHand harvestingNAherbicide</v>
      </c>
      <c r="B125" t="s">
        <v>615</v>
      </c>
      <c r="C125" t="s">
        <v>615</v>
      </c>
      <c r="D125" t="s">
        <v>624</v>
      </c>
      <c r="E125" t="s">
        <v>627</v>
      </c>
      <c r="F125" s="109">
        <v>8</v>
      </c>
      <c r="G125" s="109" t="s">
        <v>675</v>
      </c>
      <c r="H125" s="109">
        <v>12500</v>
      </c>
      <c r="I125" s="109">
        <v>1400</v>
      </c>
      <c r="J125" s="109">
        <v>1250</v>
      </c>
      <c r="K125" t="s">
        <v>627</v>
      </c>
      <c r="L125">
        <v>1</v>
      </c>
      <c r="M125" t="s">
        <v>676</v>
      </c>
      <c r="N125" t="s">
        <v>627</v>
      </c>
    </row>
    <row r="126" spans="1:14" hidden="1">
      <c r="A126" t="str">
        <f>Tabelle5[[#This Row],[Crop]]&amp;Tabelle5[[#This Row],[Activity]]&amp;Tabelle5[[#This Row],[ActivityTSF]]&amp;Tabelle5[[#This Row],[productCategory]]</f>
        <v>ViticultureHand harvestingNAother</v>
      </c>
      <c r="B126" t="s">
        <v>615</v>
      </c>
      <c r="C126" t="s">
        <v>615</v>
      </c>
      <c r="D126" t="s">
        <v>624</v>
      </c>
      <c r="E126" t="s">
        <v>627</v>
      </c>
      <c r="F126" s="109">
        <v>8</v>
      </c>
      <c r="G126" s="109" t="s">
        <v>675</v>
      </c>
      <c r="H126" s="109">
        <v>30000</v>
      </c>
      <c r="I126" s="109">
        <v>10100</v>
      </c>
      <c r="J126" s="109" t="s">
        <v>627</v>
      </c>
      <c r="K126" t="s">
        <v>627</v>
      </c>
      <c r="L126">
        <v>1</v>
      </c>
      <c r="M126" t="s">
        <v>677</v>
      </c>
      <c r="N126" s="109" t="s">
        <v>627</v>
      </c>
    </row>
    <row r="127" spans="1:14" hidden="1">
      <c r="A127" t="str">
        <f>Tabelle5[[#This Row],[Crop]]&amp;Tabelle5[[#This Row],[Activity]]&amp;Tabelle5[[#This Row],[ActivityTSF]]&amp;Tabelle5[[#This Row],[productCategory]]</f>
        <v>ViticultureInspection, irrigationNAherbicide</v>
      </c>
      <c r="B127" t="s">
        <v>615</v>
      </c>
      <c r="C127" t="s">
        <v>674</v>
      </c>
      <c r="D127" t="s">
        <v>623</v>
      </c>
      <c r="E127" t="s">
        <v>627</v>
      </c>
      <c r="F127" s="109">
        <v>2</v>
      </c>
      <c r="G127" s="109" t="s">
        <v>675</v>
      </c>
      <c r="H127" s="109">
        <v>12500</v>
      </c>
      <c r="I127" s="109">
        <v>1400</v>
      </c>
      <c r="J127" s="109">
        <v>1250</v>
      </c>
      <c r="K127" t="s">
        <v>627</v>
      </c>
      <c r="L127">
        <v>1</v>
      </c>
      <c r="M127" t="s">
        <v>676</v>
      </c>
      <c r="N127" s="109" t="s">
        <v>627</v>
      </c>
    </row>
    <row r="128" spans="1:14" hidden="1">
      <c r="A128" t="str">
        <f>Tabelle5[[#This Row],[Crop]]&amp;Tabelle5[[#This Row],[Activity]]&amp;Tabelle5[[#This Row],[ActivityTSF]]&amp;Tabelle5[[#This Row],[productCategory]]</f>
        <v>ViticultureInspection, irrigationNAother</v>
      </c>
      <c r="B128" t="s">
        <v>615</v>
      </c>
      <c r="C128" t="s">
        <v>674</v>
      </c>
      <c r="D128" t="s">
        <v>623</v>
      </c>
      <c r="E128" t="s">
        <v>627</v>
      </c>
      <c r="F128" s="109">
        <v>2</v>
      </c>
      <c r="G128" t="s">
        <v>675</v>
      </c>
      <c r="H128" s="109">
        <v>12500</v>
      </c>
      <c r="I128" s="109">
        <v>1400</v>
      </c>
      <c r="J128" s="109">
        <v>1250</v>
      </c>
      <c r="K128" t="s">
        <v>627</v>
      </c>
      <c r="L128">
        <v>1</v>
      </c>
      <c r="M128" s="622" t="s">
        <v>677</v>
      </c>
      <c r="N128" s="109" t="s">
        <v>627</v>
      </c>
    </row>
    <row r="129" spans="1:14" hidden="1">
      <c r="A129" t="str">
        <f>Tabelle5[[#This Row],[Crop]]&amp;Tabelle5[[#This Row],[Activity]]&amp;Tabelle5[[#This Row],[ActivityTSF]]&amp;Tabelle5[[#This Row],[productCategory]]</f>
        <v>Low berriesInspection, irrigationNAherbicide</v>
      </c>
      <c r="B129" t="s">
        <v>688</v>
      </c>
      <c r="C129" t="s">
        <v>674</v>
      </c>
      <c r="D129" t="s">
        <v>623</v>
      </c>
      <c r="E129" t="s">
        <v>627</v>
      </c>
      <c r="F129" s="109">
        <v>8</v>
      </c>
      <c r="G129" s="109" t="s">
        <v>675</v>
      </c>
      <c r="H129" s="109">
        <v>12500</v>
      </c>
      <c r="I129" s="109">
        <v>1400</v>
      </c>
      <c r="J129" s="109">
        <v>1250</v>
      </c>
      <c r="K129" t="s">
        <v>627</v>
      </c>
      <c r="L129">
        <v>0</v>
      </c>
      <c r="M129" t="s">
        <v>676</v>
      </c>
      <c r="N129" s="109">
        <v>0.01</v>
      </c>
    </row>
    <row r="130" spans="1:14" hidden="1">
      <c r="A130" t="str">
        <f>Tabelle5[[#This Row],[Crop]]&amp;Tabelle5[[#This Row],[Activity]]&amp;Tabelle5[[#This Row],[ActivityTSF]]&amp;Tabelle5[[#This Row],[productCategory]]</f>
        <v>Low berriesInspection, irrigationNAother</v>
      </c>
      <c r="B130" t="s">
        <v>688</v>
      </c>
      <c r="C130" t="s">
        <v>674</v>
      </c>
      <c r="D130" t="s">
        <v>623</v>
      </c>
      <c r="E130" t="s">
        <v>627</v>
      </c>
      <c r="F130" s="109">
        <v>8</v>
      </c>
      <c r="G130" s="109" t="s">
        <v>675</v>
      </c>
      <c r="H130" s="109">
        <v>12500</v>
      </c>
      <c r="I130" s="109">
        <v>1400</v>
      </c>
      <c r="J130" s="109">
        <v>1250</v>
      </c>
      <c r="K130" t="s">
        <v>627</v>
      </c>
      <c r="L130">
        <v>0</v>
      </c>
      <c r="M130" t="s">
        <v>677</v>
      </c>
      <c r="N130" s="109">
        <v>0.01</v>
      </c>
    </row>
    <row r="131" spans="1:14" hidden="1">
      <c r="A131" t="str">
        <f>Tabelle5[[#This Row],[Crop]]&amp;Tabelle5[[#This Row],[Activity]]&amp;Tabelle5[[#This Row],[ActivityTSF]]&amp;Tabelle5[[#This Row],[productCategory]]</f>
        <v>Low berriesInspection, irrigationNAherbicide</v>
      </c>
      <c r="B131" t="s">
        <v>688</v>
      </c>
      <c r="C131" t="s">
        <v>674</v>
      </c>
      <c r="D131" t="s">
        <v>623</v>
      </c>
      <c r="E131" t="s">
        <v>627</v>
      </c>
      <c r="F131" s="109">
        <v>2</v>
      </c>
      <c r="G131" s="109" t="s">
        <v>675</v>
      </c>
      <c r="H131" s="109">
        <v>12500</v>
      </c>
      <c r="I131" s="109">
        <v>1400</v>
      </c>
      <c r="J131" s="109">
        <v>1250</v>
      </c>
      <c r="K131" t="s">
        <v>627</v>
      </c>
      <c r="L131">
        <v>0</v>
      </c>
      <c r="M131" t="s">
        <v>676</v>
      </c>
      <c r="N131" s="109">
        <v>0.01</v>
      </c>
    </row>
    <row r="132" spans="1:14" hidden="1">
      <c r="A132" t="str">
        <f>Tabelle5[[#This Row],[Crop]]&amp;Tabelle5[[#This Row],[Activity]]&amp;Tabelle5[[#This Row],[ActivityTSF]]&amp;Tabelle5[[#This Row],[productCategory]]</f>
        <v>Low berriesInspection, irrigationNAother</v>
      </c>
      <c r="B132" t="s">
        <v>688</v>
      </c>
      <c r="C132" t="s">
        <v>674</v>
      </c>
      <c r="D132" t="s">
        <v>623</v>
      </c>
      <c r="E132" t="s">
        <v>627</v>
      </c>
      <c r="F132" s="109">
        <v>2</v>
      </c>
      <c r="G132" s="109" t="s">
        <v>675</v>
      </c>
      <c r="H132" s="109">
        <v>12500</v>
      </c>
      <c r="I132" s="109">
        <v>1400</v>
      </c>
      <c r="J132" s="109">
        <v>1250</v>
      </c>
      <c r="K132" t="s">
        <v>627</v>
      </c>
      <c r="L132">
        <v>0</v>
      </c>
      <c r="M132" t="s">
        <v>677</v>
      </c>
      <c r="N132" s="109">
        <v>0.01</v>
      </c>
    </row>
    <row r="133" spans="1:14" hidden="1">
      <c r="A133" t="str">
        <f>Tabelle5[[#This Row],[Crop]]&amp;Tabelle5[[#This Row],[Activity]]&amp;Tabelle5[[#This Row],[ActivityTSF]]&amp;Tabelle5[[#This Row],[productCategory]]</f>
        <v>Low berriesReaching, pickingNAherbicide</v>
      </c>
      <c r="B133" t="s">
        <v>688</v>
      </c>
      <c r="C133" t="s">
        <v>688</v>
      </c>
      <c r="D133" t="s">
        <v>628</v>
      </c>
      <c r="E133" t="s">
        <v>627</v>
      </c>
      <c r="F133" s="109">
        <v>8</v>
      </c>
      <c r="G133" s="109" t="s">
        <v>689</v>
      </c>
      <c r="H133" s="109">
        <v>5800</v>
      </c>
      <c r="I133" s="109">
        <v>3000</v>
      </c>
      <c r="J133" s="109">
        <v>750</v>
      </c>
      <c r="K133" t="s">
        <v>627</v>
      </c>
      <c r="L133">
        <v>0</v>
      </c>
      <c r="M133" t="s">
        <v>676</v>
      </c>
      <c r="N133" s="109">
        <v>0.01</v>
      </c>
    </row>
    <row r="134" spans="1:14" hidden="1">
      <c r="A134" t="str">
        <f>Tabelle5[[#This Row],[Crop]]&amp;Tabelle5[[#This Row],[Activity]]&amp;Tabelle5[[#This Row],[ActivityTSF]]&amp;Tabelle5[[#This Row],[productCategory]]</f>
        <v>Low berriesReaching, pickingNAother</v>
      </c>
      <c r="B134" t="s">
        <v>688</v>
      </c>
      <c r="C134" t="s">
        <v>688</v>
      </c>
      <c r="D134" t="s">
        <v>628</v>
      </c>
      <c r="E134" t="s">
        <v>627</v>
      </c>
      <c r="F134" s="109">
        <v>8</v>
      </c>
      <c r="G134" s="109" t="s">
        <v>689</v>
      </c>
      <c r="H134" s="109">
        <v>5800</v>
      </c>
      <c r="I134" s="109">
        <v>3000</v>
      </c>
      <c r="J134" s="109">
        <v>750</v>
      </c>
      <c r="K134" t="s">
        <v>627</v>
      </c>
      <c r="L134">
        <v>0</v>
      </c>
      <c r="M134" t="s">
        <v>677</v>
      </c>
      <c r="N134" s="109">
        <v>0.1</v>
      </c>
    </row>
  </sheetData>
  <sheetProtection algorithmName="SHA-512" hashValue="iyV4aw1Fri35UEN2/XcPRmJ1ejAzYNhfFW5JRsPdcvLGnogvXvb3kXb+NkC8O3Q022R6xURnE+2bKj6fy+7kMw==" saltValue="E+UcQxwwC9pcFhxd6bNWjQ==" spinCount="100000" sheet="1" formatCells="0" formatColumns="0" autoFilter="0"/>
  <pageMargins left="0.7" right="0.7" top="0.78740157499999996" bottom="0.78740157499999996" header="0.3" footer="0.3"/>
  <pageSetup paperSize="9" orientation="portrait" r:id="rId1"/>
  <headerFooter>
    <oddFooter>&amp;C&amp;1#&amp;"Arial"&amp;10&amp;K000000---Internal Use---</oddFooter>
  </headerFooter>
  <tableParts count="1">
    <tablePart r:id="rId2"/>
  </tableParts>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D11E8A-8036-40F8-8F64-158C3D8432EE}">
  <sheetPr codeName="Tabelle21"/>
  <dimension ref="A1:M99"/>
  <sheetViews>
    <sheetView workbookViewId="0"/>
  </sheetViews>
  <sheetFormatPr defaultColWidth="9.140625" defaultRowHeight="15"/>
  <cols>
    <col min="1" max="1" width="40.5703125" style="314" customWidth="1"/>
    <col min="2" max="2" width="41.140625" style="314" customWidth="1"/>
    <col min="3" max="3" width="42.28515625" style="314" customWidth="1"/>
    <col min="4" max="4" width="49.5703125" style="314" customWidth="1"/>
    <col min="5" max="5" width="19.140625" style="314" customWidth="1"/>
    <col min="6" max="6" width="32.42578125" style="314" customWidth="1"/>
    <col min="7" max="7" width="13.140625" style="314" customWidth="1"/>
    <col min="8" max="8" width="23.7109375" style="314" customWidth="1"/>
    <col min="9" max="9" width="9.7109375" style="314" customWidth="1"/>
    <col min="10" max="10" width="24.5703125" style="314" customWidth="1"/>
    <col min="11" max="11" width="32.7109375" style="314" bestFit="1" customWidth="1"/>
    <col min="12" max="12" width="34.5703125" style="314" customWidth="1"/>
    <col min="13" max="13" width="32.7109375" style="314" bestFit="1" customWidth="1"/>
    <col min="14" max="16384" width="9.140625" style="314"/>
  </cols>
  <sheetData>
    <row r="1" spans="1:13" ht="15.75" thickBot="1">
      <c r="A1" s="314">
        <v>1</v>
      </c>
      <c r="B1" s="314">
        <v>2</v>
      </c>
      <c r="C1" s="314">
        <v>3</v>
      </c>
      <c r="D1" s="314">
        <v>4</v>
      </c>
      <c r="E1" s="314">
        <v>5</v>
      </c>
      <c r="F1" s="314">
        <v>6</v>
      </c>
      <c r="G1" s="314">
        <v>7</v>
      </c>
      <c r="H1" s="314">
        <v>8</v>
      </c>
      <c r="I1" s="314">
        <v>9</v>
      </c>
      <c r="J1" s="314">
        <v>10</v>
      </c>
      <c r="K1" s="314">
        <v>11</v>
      </c>
      <c r="L1" s="314">
        <v>12</v>
      </c>
      <c r="M1" s="314">
        <v>13</v>
      </c>
    </row>
    <row r="2" spans="1:13">
      <c r="A2" s="538" t="s">
        <v>696</v>
      </c>
      <c r="B2" s="539"/>
      <c r="D2" s="538" t="s">
        <v>697</v>
      </c>
      <c r="E2" s="539"/>
    </row>
    <row r="3" spans="1:13">
      <c r="A3" s="540" t="s">
        <v>698</v>
      </c>
      <c r="B3" s="541"/>
      <c r="D3" s="540" t="s">
        <v>699</v>
      </c>
      <c r="E3" s="198"/>
    </row>
    <row r="4" spans="1:13">
      <c r="A4" s="542" t="s">
        <v>458</v>
      </c>
      <c r="B4" s="198">
        <v>1</v>
      </c>
      <c r="D4" s="542" t="s">
        <v>700</v>
      </c>
      <c r="E4" s="198">
        <v>0.05</v>
      </c>
    </row>
    <row r="5" spans="1:13">
      <c r="A5" s="542" t="s">
        <v>701</v>
      </c>
      <c r="B5" s="198">
        <v>0.25</v>
      </c>
      <c r="D5" s="542" t="s">
        <v>702</v>
      </c>
      <c r="E5" s="198">
        <v>0.05</v>
      </c>
    </row>
    <row r="6" spans="1:13" ht="15.75" thickBot="1">
      <c r="A6" s="543" t="s">
        <v>472</v>
      </c>
      <c r="B6" s="544">
        <v>0.1</v>
      </c>
      <c r="D6" s="542" t="s">
        <v>703</v>
      </c>
      <c r="E6" s="198">
        <v>0.05</v>
      </c>
    </row>
    <row r="7" spans="1:13" ht="15.75" thickBot="1">
      <c r="D7" s="542" t="s">
        <v>704</v>
      </c>
      <c r="E7" s="198">
        <v>0.1</v>
      </c>
    </row>
    <row r="8" spans="1:13">
      <c r="A8" s="538" t="s">
        <v>705</v>
      </c>
      <c r="B8" s="539"/>
      <c r="D8" s="542" t="s">
        <v>706</v>
      </c>
      <c r="E8" s="198">
        <v>1</v>
      </c>
    </row>
    <row r="9" spans="1:13">
      <c r="A9" s="540" t="s">
        <v>707</v>
      </c>
      <c r="B9" s="198"/>
      <c r="D9" s="542" t="s">
        <v>708</v>
      </c>
      <c r="E9" s="198">
        <v>1</v>
      </c>
    </row>
    <row r="10" spans="1:13">
      <c r="A10" s="542" t="s">
        <v>372</v>
      </c>
      <c r="B10" s="198">
        <v>1</v>
      </c>
      <c r="D10" s="542" t="s">
        <v>709</v>
      </c>
      <c r="E10" s="198">
        <v>1</v>
      </c>
    </row>
    <row r="11" spans="1:13" ht="15.75" thickBot="1">
      <c r="A11" s="542" t="s">
        <v>456</v>
      </c>
      <c r="B11" s="198">
        <v>0.1</v>
      </c>
      <c r="D11" s="543" t="s">
        <v>710</v>
      </c>
      <c r="E11" s="544">
        <v>1</v>
      </c>
    </row>
    <row r="12" spans="1:13" ht="15.75" thickBot="1">
      <c r="A12" s="543" t="s">
        <v>471</v>
      </c>
      <c r="B12" s="544">
        <v>0.05</v>
      </c>
    </row>
    <row r="13" spans="1:13" ht="15.75" thickBot="1"/>
    <row r="14" spans="1:13" ht="15.75" thickBot="1">
      <c r="A14" s="538" t="s">
        <v>705</v>
      </c>
      <c r="B14" s="539"/>
    </row>
    <row r="15" spans="1:13" ht="15.75" thickBot="1">
      <c r="A15" s="540" t="s">
        <v>711</v>
      </c>
      <c r="B15" s="198"/>
      <c r="C15" s="538" t="s">
        <v>712</v>
      </c>
      <c r="D15" s="546"/>
      <c r="E15" s="546"/>
      <c r="F15" s="539"/>
      <c r="G15" s="711"/>
    </row>
    <row r="16" spans="1:13" ht="15.75" thickBot="1">
      <c r="A16" s="542" t="s">
        <v>458</v>
      </c>
      <c r="B16" s="198">
        <v>1</v>
      </c>
      <c r="C16" s="538" t="str">
        <f>IF(i_AppEquip="Manual-Knapsack","ML_Knapsack","ML_Tank")</f>
        <v>ML_Tank</v>
      </c>
      <c r="D16" s="705"/>
      <c r="E16" s="538" t="str" cm="1">
        <f t="array" ref="E16">IF(APP_Gloves="No","Nogloves",IF(i_AppMeth="Upward spraying","APP_Up","App_Down"))</f>
        <v>Nogloves</v>
      </c>
      <c r="F16" s="539"/>
      <c r="G16" s="704"/>
    </row>
    <row r="17" spans="1:13">
      <c r="A17" s="542" t="s">
        <v>713</v>
      </c>
      <c r="B17" s="198">
        <v>0.5</v>
      </c>
      <c r="C17" s="707" t="s">
        <v>714</v>
      </c>
      <c r="D17" s="707" t="s">
        <v>715</v>
      </c>
      <c r="E17" s="707" t="s">
        <v>716</v>
      </c>
      <c r="F17" s="707" t="s">
        <v>717</v>
      </c>
      <c r="G17" s="707" t="s">
        <v>718</v>
      </c>
    </row>
    <row r="18" spans="1:13">
      <c r="A18" s="542" t="s">
        <v>719</v>
      </c>
      <c r="B18" s="198">
        <v>0.05</v>
      </c>
      <c r="C18" s="704" t="s">
        <v>458</v>
      </c>
      <c r="D18" s="704" t="s">
        <v>458</v>
      </c>
      <c r="E18" s="704" t="s">
        <v>458</v>
      </c>
      <c r="F18" s="704" t="s">
        <v>458</v>
      </c>
      <c r="G18" s="704" t="s">
        <v>458</v>
      </c>
    </row>
    <row r="19" spans="1:13" ht="15.75" thickBot="1">
      <c r="A19" s="542" t="s">
        <v>701</v>
      </c>
      <c r="B19" s="198">
        <v>0.8</v>
      </c>
      <c r="C19" s="706" t="s">
        <v>719</v>
      </c>
      <c r="D19" s="706"/>
      <c r="E19" s="704" t="s">
        <v>713</v>
      </c>
      <c r="F19" s="704" t="s">
        <v>713</v>
      </c>
      <c r="G19" s="704"/>
    </row>
    <row r="20" spans="1:13" ht="15.75" thickBot="1">
      <c r="A20" s="543" t="s">
        <v>472</v>
      </c>
      <c r="B20" s="544">
        <v>0.8</v>
      </c>
      <c r="E20" s="706" t="s">
        <v>719</v>
      </c>
      <c r="F20" s="706"/>
      <c r="G20" s="706"/>
    </row>
    <row r="21" spans="1:13" ht="17.25" customHeight="1"/>
    <row r="22" spans="1:13" s="545" customFormat="1" ht="15.75" thickBot="1">
      <c r="D22" s="314"/>
      <c r="E22" s="314"/>
      <c r="F22" s="314"/>
      <c r="G22" s="314"/>
      <c r="H22" s="397"/>
      <c r="I22" s="397"/>
    </row>
    <row r="23" spans="1:13">
      <c r="A23" s="538" t="s">
        <v>720</v>
      </c>
      <c r="B23" s="546"/>
      <c r="C23" s="546"/>
      <c r="D23" s="546"/>
      <c r="E23" s="546"/>
      <c r="F23" s="546"/>
      <c r="G23" s="546"/>
      <c r="H23" s="546"/>
      <c r="I23" s="539"/>
      <c r="L23" s="547" t="s">
        <v>721</v>
      </c>
    </row>
    <row r="24" spans="1:13" ht="30">
      <c r="A24" s="548" t="s">
        <v>722</v>
      </c>
      <c r="B24" s="545" t="s">
        <v>723</v>
      </c>
      <c r="C24" s="545" t="s">
        <v>723</v>
      </c>
      <c r="D24" s="545" t="e">
        <f>INDEX(ay_CropType, MATCH(i_CropType, key_CropType, 0), 7)</f>
        <v>#N/A</v>
      </c>
      <c r="E24" s="545"/>
      <c r="F24" s="545"/>
      <c r="G24" s="545" t="s">
        <v>723</v>
      </c>
      <c r="K24" s="548" t="s">
        <v>722</v>
      </c>
      <c r="L24" s="549" t="s">
        <v>724</v>
      </c>
      <c r="M24" s="545"/>
    </row>
    <row r="25" spans="1:13" ht="60">
      <c r="A25" s="550" t="s">
        <v>313</v>
      </c>
      <c r="B25" s="397" t="s">
        <v>725</v>
      </c>
      <c r="C25" s="397" t="s">
        <v>726</v>
      </c>
      <c r="D25" s="397" t="s">
        <v>663</v>
      </c>
      <c r="E25" s="397" t="s">
        <v>727</v>
      </c>
      <c r="F25" s="397" t="s">
        <v>728</v>
      </c>
      <c r="G25" s="397" t="s">
        <v>729</v>
      </c>
      <c r="H25" s="397" t="s">
        <v>730</v>
      </c>
      <c r="I25" s="549" t="s">
        <v>724</v>
      </c>
      <c r="J25" s="397" t="s">
        <v>731</v>
      </c>
      <c r="K25" s="550" t="s">
        <v>313</v>
      </c>
    </row>
    <row r="26" spans="1:13">
      <c r="A26" s="199" t="s">
        <v>683</v>
      </c>
      <c r="B26" s="314">
        <v>23000</v>
      </c>
      <c r="C26" s="314" t="s">
        <v>627</v>
      </c>
      <c r="D26" s="314" t="s">
        <v>624</v>
      </c>
      <c r="E26" s="314">
        <v>8</v>
      </c>
      <c r="F26" s="314" t="s">
        <v>732</v>
      </c>
      <c r="G26" s="314" t="s">
        <v>627</v>
      </c>
      <c r="H26" s="314" t="s">
        <v>683</v>
      </c>
      <c r="I26" s="198">
        <v>50</v>
      </c>
      <c r="J26" s="314" t="s">
        <v>733</v>
      </c>
      <c r="K26" s="199" t="s">
        <v>683</v>
      </c>
      <c r="L26" s="198">
        <v>50</v>
      </c>
    </row>
    <row r="27" spans="1:13">
      <c r="A27" s="199" t="s">
        <v>614</v>
      </c>
      <c r="B27" s="314">
        <v>3000</v>
      </c>
      <c r="C27" s="314">
        <v>5800</v>
      </c>
      <c r="D27" s="314" t="s">
        <v>628</v>
      </c>
      <c r="E27" s="314">
        <v>8</v>
      </c>
      <c r="F27" s="314" t="s">
        <v>734</v>
      </c>
      <c r="G27" s="551">
        <v>750</v>
      </c>
      <c r="H27" s="314" t="str">
        <f>IF(i_AppMeth="Upward spraying","Hops","Field crops")</f>
        <v>Field crops</v>
      </c>
      <c r="I27" s="198">
        <v>10</v>
      </c>
      <c r="J27" s="314" t="s">
        <v>735</v>
      </c>
      <c r="K27" s="199" t="s">
        <v>614</v>
      </c>
      <c r="L27" s="198">
        <v>10</v>
      </c>
    </row>
    <row r="28" spans="1:13">
      <c r="A28" s="199" t="s">
        <v>615</v>
      </c>
      <c r="B28" s="314">
        <v>2500</v>
      </c>
      <c r="C28" s="314">
        <v>5800</v>
      </c>
      <c r="D28" s="314" t="s">
        <v>628</v>
      </c>
      <c r="E28" s="314">
        <v>8</v>
      </c>
      <c r="F28" s="314" t="s">
        <v>732</v>
      </c>
      <c r="G28" s="551">
        <v>580</v>
      </c>
      <c r="H28" s="314" t="str">
        <f>IF(i_AppMeth="Upward spraying","Grapes","Field crops")</f>
        <v>Field crops</v>
      </c>
      <c r="I28" s="198">
        <v>10</v>
      </c>
      <c r="J28" s="314" t="s">
        <v>735</v>
      </c>
      <c r="K28" s="199" t="s">
        <v>615</v>
      </c>
      <c r="L28" s="198">
        <v>10</v>
      </c>
    </row>
    <row r="29" spans="1:13">
      <c r="A29" s="199" t="s">
        <v>616</v>
      </c>
      <c r="B29" s="314">
        <v>4500</v>
      </c>
      <c r="C29" s="314">
        <v>22500</v>
      </c>
      <c r="D29" s="314" t="s">
        <v>632</v>
      </c>
      <c r="E29" s="314">
        <v>8</v>
      </c>
      <c r="F29" s="314" t="s">
        <v>732</v>
      </c>
      <c r="G29" s="551">
        <v>2250</v>
      </c>
      <c r="H29" s="314" t="str">
        <f>IF(i_AppMeth="Upward spraying","Fruit crops","Field crops")</f>
        <v>Field crops</v>
      </c>
      <c r="I29" s="198">
        <v>10</v>
      </c>
      <c r="J29" s="314" t="s">
        <v>735</v>
      </c>
      <c r="K29" s="199" t="s">
        <v>616</v>
      </c>
      <c r="L29" s="198">
        <v>10</v>
      </c>
    </row>
    <row r="30" spans="1:13">
      <c r="A30" s="199" t="s">
        <v>617</v>
      </c>
      <c r="B30" s="314">
        <v>4500</v>
      </c>
      <c r="C30" s="314">
        <v>22500</v>
      </c>
      <c r="D30" s="314" t="s">
        <v>632</v>
      </c>
      <c r="E30" s="314">
        <v>8</v>
      </c>
      <c r="F30" s="314" t="s">
        <v>732</v>
      </c>
      <c r="G30" s="551">
        <v>2250</v>
      </c>
      <c r="H30" s="314" t="str">
        <f>IF(i_AppMeth="Upward spraying","Fruit crops","Field crops")</f>
        <v>Field crops</v>
      </c>
      <c r="I30" s="198">
        <v>10</v>
      </c>
      <c r="J30" s="314" t="s">
        <v>735</v>
      </c>
      <c r="K30" s="199" t="s">
        <v>617</v>
      </c>
      <c r="L30" s="198">
        <v>10</v>
      </c>
    </row>
    <row r="31" spans="1:13">
      <c r="A31" s="199" t="s">
        <v>693</v>
      </c>
      <c r="B31" s="314">
        <v>4500</v>
      </c>
      <c r="C31" s="314">
        <v>22500</v>
      </c>
      <c r="D31" s="314" t="s">
        <v>632</v>
      </c>
      <c r="E31" s="314">
        <v>8</v>
      </c>
      <c r="F31" s="314" t="s">
        <v>732</v>
      </c>
      <c r="G31" s="551">
        <v>2250</v>
      </c>
      <c r="H31" s="314" t="str">
        <f>IF(i_AppMeth="Upward spraying","Fruit crops","Field crops")</f>
        <v>Field crops</v>
      </c>
      <c r="I31" s="198">
        <v>10</v>
      </c>
      <c r="J31" s="314" t="s">
        <v>735</v>
      </c>
      <c r="K31" s="199" t="s">
        <v>693</v>
      </c>
      <c r="L31" s="198">
        <v>10</v>
      </c>
    </row>
    <row r="32" spans="1:13">
      <c r="A32" s="199" t="s">
        <v>682</v>
      </c>
      <c r="B32" s="314">
        <v>4500</v>
      </c>
      <c r="C32" s="314">
        <v>22500</v>
      </c>
      <c r="D32" s="314" t="s">
        <v>632</v>
      </c>
      <c r="E32" s="314">
        <v>8</v>
      </c>
      <c r="F32" s="314" t="s">
        <v>732</v>
      </c>
      <c r="G32" s="551">
        <v>2250</v>
      </c>
      <c r="H32" s="314" t="str">
        <f>IF(i_AppMeth="Upward spraying","Fruit crops","Field crops")</f>
        <v>Field crops</v>
      </c>
      <c r="I32" s="198">
        <v>10</v>
      </c>
      <c r="J32" s="314" t="s">
        <v>735</v>
      </c>
      <c r="K32" s="199" t="s">
        <v>682</v>
      </c>
      <c r="L32" s="198">
        <v>10</v>
      </c>
    </row>
    <row r="33" spans="1:12">
      <c r="A33" s="199" t="s">
        <v>688</v>
      </c>
      <c r="B33" s="314">
        <v>3000</v>
      </c>
      <c r="C33" s="314">
        <v>5800</v>
      </c>
      <c r="D33" s="314" t="s">
        <v>628</v>
      </c>
      <c r="E33" s="314">
        <v>8</v>
      </c>
      <c r="F33" s="314" t="s">
        <v>734</v>
      </c>
      <c r="G33" s="551">
        <v>750</v>
      </c>
      <c r="H33" s="314" t="s">
        <v>683</v>
      </c>
      <c r="I33" s="198">
        <v>50</v>
      </c>
      <c r="J33" s="314" t="s">
        <v>735</v>
      </c>
      <c r="K33" s="199" t="s">
        <v>688</v>
      </c>
      <c r="L33" s="198">
        <v>50</v>
      </c>
    </row>
    <row r="34" spans="1:12">
      <c r="A34" s="199" t="s">
        <v>691</v>
      </c>
      <c r="B34" s="314">
        <v>2500</v>
      </c>
      <c r="C34" s="314">
        <v>5800</v>
      </c>
      <c r="D34" s="314" t="s">
        <v>628</v>
      </c>
      <c r="E34" s="314">
        <v>8</v>
      </c>
      <c r="F34" s="314" t="s">
        <v>732</v>
      </c>
      <c r="G34" s="551">
        <v>580</v>
      </c>
      <c r="H34" s="314" t="s">
        <v>683</v>
      </c>
      <c r="I34" s="198">
        <v>50</v>
      </c>
      <c r="J34" s="314" t="s">
        <v>735</v>
      </c>
      <c r="K34" s="199" t="s">
        <v>691</v>
      </c>
      <c r="L34" s="198">
        <v>50</v>
      </c>
    </row>
    <row r="35" spans="1:12">
      <c r="A35" s="199" t="s">
        <v>690</v>
      </c>
      <c r="B35" s="314">
        <v>5000</v>
      </c>
      <c r="C35" s="314">
        <v>14000</v>
      </c>
      <c r="D35" s="314" t="s">
        <v>643</v>
      </c>
      <c r="E35" s="314">
        <v>8</v>
      </c>
      <c r="F35" s="314" t="s">
        <v>732</v>
      </c>
      <c r="G35" s="551">
        <v>1400</v>
      </c>
      <c r="H35" s="314" t="s">
        <v>683</v>
      </c>
      <c r="I35" s="198">
        <v>50</v>
      </c>
      <c r="J35" s="314" t="s">
        <v>735</v>
      </c>
      <c r="K35" s="199" t="s">
        <v>690</v>
      </c>
      <c r="L35" s="198">
        <v>50</v>
      </c>
    </row>
    <row r="36" spans="1:12">
      <c r="A36" s="199" t="s">
        <v>684</v>
      </c>
      <c r="B36" s="314">
        <v>5000</v>
      </c>
      <c r="C36" s="314">
        <v>14000</v>
      </c>
      <c r="D36" s="314" t="s">
        <v>643</v>
      </c>
      <c r="E36" s="314">
        <v>8</v>
      </c>
      <c r="F36" s="314" t="s">
        <v>732</v>
      </c>
      <c r="G36" s="551">
        <v>1400</v>
      </c>
      <c r="H36" s="314" t="s">
        <v>736</v>
      </c>
      <c r="I36" s="198">
        <v>10</v>
      </c>
      <c r="J36" s="314" t="s">
        <v>735</v>
      </c>
      <c r="K36" s="199" t="s">
        <v>684</v>
      </c>
      <c r="L36" s="198">
        <v>10</v>
      </c>
    </row>
    <row r="37" spans="1:12">
      <c r="A37" s="199" t="s">
        <v>678</v>
      </c>
      <c r="B37" s="314">
        <v>1400</v>
      </c>
      <c r="C37" s="314">
        <v>12500</v>
      </c>
      <c r="D37" s="314" t="s">
        <v>623</v>
      </c>
      <c r="E37" s="314">
        <v>2</v>
      </c>
      <c r="F37" s="314" t="s">
        <v>732</v>
      </c>
      <c r="G37" s="551">
        <v>1250</v>
      </c>
      <c r="H37" s="314" t="s">
        <v>683</v>
      </c>
      <c r="I37" s="198">
        <v>50</v>
      </c>
      <c r="J37" s="314" t="s">
        <v>735</v>
      </c>
      <c r="K37" s="199" t="s">
        <v>678</v>
      </c>
      <c r="L37" s="198">
        <v>50</v>
      </c>
    </row>
    <row r="38" spans="1:12">
      <c r="A38" s="199" t="s">
        <v>673</v>
      </c>
      <c r="B38" s="314">
        <v>1400</v>
      </c>
      <c r="C38" s="314">
        <v>12500</v>
      </c>
      <c r="D38" s="314" t="s">
        <v>623</v>
      </c>
      <c r="E38" s="314">
        <v>2</v>
      </c>
      <c r="F38" s="314" t="s">
        <v>732</v>
      </c>
      <c r="G38" s="551">
        <v>1250</v>
      </c>
      <c r="H38" s="314" t="s">
        <v>683</v>
      </c>
      <c r="I38" s="198">
        <v>50</v>
      </c>
      <c r="J38" s="314" t="s">
        <v>733</v>
      </c>
      <c r="K38" s="199" t="s">
        <v>673</v>
      </c>
      <c r="L38" s="198">
        <v>50</v>
      </c>
    </row>
    <row r="39" spans="1:12">
      <c r="A39" s="199" t="s">
        <v>679</v>
      </c>
      <c r="B39" s="314" t="s">
        <v>627</v>
      </c>
      <c r="C39" s="314" t="s">
        <v>627</v>
      </c>
      <c r="D39" s="314" t="s">
        <v>626</v>
      </c>
      <c r="E39" s="314" t="s">
        <v>627</v>
      </c>
      <c r="F39" s="314" t="s">
        <v>627</v>
      </c>
      <c r="G39" s="552" t="s">
        <v>627</v>
      </c>
      <c r="H39" s="314" t="s">
        <v>683</v>
      </c>
      <c r="I39" s="198">
        <v>50</v>
      </c>
      <c r="J39" s="314" t="s">
        <v>735</v>
      </c>
      <c r="K39" s="199" t="s">
        <v>679</v>
      </c>
      <c r="L39" s="198">
        <v>50</v>
      </c>
    </row>
    <row r="40" spans="1:12">
      <c r="A40" s="199" t="s">
        <v>686</v>
      </c>
      <c r="B40" s="314">
        <v>2500</v>
      </c>
      <c r="C40" s="314">
        <v>5800</v>
      </c>
      <c r="D40" s="314" t="s">
        <v>628</v>
      </c>
      <c r="E40" s="314">
        <v>8</v>
      </c>
      <c r="F40" s="314" t="s">
        <v>732</v>
      </c>
      <c r="G40" s="551">
        <v>580</v>
      </c>
      <c r="H40" s="314" t="s">
        <v>736</v>
      </c>
      <c r="I40" s="198">
        <v>10</v>
      </c>
      <c r="J40" s="314" t="s">
        <v>735</v>
      </c>
      <c r="K40" s="199" t="s">
        <v>686</v>
      </c>
      <c r="L40" s="198">
        <v>10</v>
      </c>
    </row>
    <row r="41" spans="1:12">
      <c r="A41" s="199" t="s">
        <v>680</v>
      </c>
      <c r="B41" s="314" t="s">
        <v>627</v>
      </c>
      <c r="C41" s="314" t="s">
        <v>627</v>
      </c>
      <c r="D41" s="314" t="s">
        <v>627</v>
      </c>
      <c r="E41" s="314" t="s">
        <v>627</v>
      </c>
      <c r="F41" s="314" t="s">
        <v>627</v>
      </c>
      <c r="G41" s="552" t="s">
        <v>627</v>
      </c>
      <c r="H41" s="314" t="s">
        <v>683</v>
      </c>
      <c r="I41" s="198">
        <v>50</v>
      </c>
      <c r="J41" s="314" t="s">
        <v>735</v>
      </c>
      <c r="K41" s="199" t="s">
        <v>680</v>
      </c>
      <c r="L41" s="198">
        <v>50</v>
      </c>
    </row>
    <row r="42" spans="1:12">
      <c r="A42" s="199" t="s">
        <v>694</v>
      </c>
      <c r="B42" s="314">
        <v>4500</v>
      </c>
      <c r="C42" s="314">
        <v>22500</v>
      </c>
      <c r="D42" s="314" t="s">
        <v>632</v>
      </c>
      <c r="E42" s="314">
        <v>8</v>
      </c>
      <c r="F42" s="314" t="s">
        <v>732</v>
      </c>
      <c r="G42" s="551">
        <v>2250</v>
      </c>
      <c r="H42" s="314" t="s">
        <v>736</v>
      </c>
      <c r="I42" s="198">
        <v>4</v>
      </c>
      <c r="J42" s="314" t="s">
        <v>735</v>
      </c>
      <c r="K42" s="199" t="s">
        <v>694</v>
      </c>
      <c r="L42" s="198">
        <v>4</v>
      </c>
    </row>
    <row r="43" spans="1:12">
      <c r="A43" s="199" t="s">
        <v>695</v>
      </c>
      <c r="B43" s="314">
        <v>3000</v>
      </c>
      <c r="C43" s="314">
        <v>5800</v>
      </c>
      <c r="D43" s="314" t="s">
        <v>628</v>
      </c>
      <c r="E43" s="314">
        <v>8</v>
      </c>
      <c r="F43" s="314" t="s">
        <v>734</v>
      </c>
      <c r="G43" s="551">
        <v>750</v>
      </c>
      <c r="H43" s="314" t="s">
        <v>683</v>
      </c>
      <c r="I43" s="198">
        <v>50</v>
      </c>
      <c r="J43" s="314" t="s">
        <v>735</v>
      </c>
      <c r="K43" s="199" t="s">
        <v>695</v>
      </c>
      <c r="L43" s="198">
        <v>50</v>
      </c>
    </row>
    <row r="44" spans="1:12">
      <c r="A44" s="199" t="s">
        <v>681</v>
      </c>
      <c r="B44" s="314" t="s">
        <v>627</v>
      </c>
      <c r="C44" s="314" t="s">
        <v>627</v>
      </c>
      <c r="D44" s="314" t="s">
        <v>627</v>
      </c>
      <c r="E44" s="314" t="s">
        <v>627</v>
      </c>
      <c r="F44" s="314" t="s">
        <v>627</v>
      </c>
      <c r="G44" s="552" t="s">
        <v>627</v>
      </c>
      <c r="H44" s="314" t="s">
        <v>683</v>
      </c>
      <c r="I44" s="198">
        <v>50</v>
      </c>
      <c r="J44" s="314" t="s">
        <v>733</v>
      </c>
      <c r="K44" s="199" t="s">
        <v>681</v>
      </c>
      <c r="L44" s="198">
        <v>50</v>
      </c>
    </row>
    <row r="45" spans="1:12">
      <c r="B45" s="132">
        <v>1400</v>
      </c>
      <c r="C45" s="132">
        <v>12500</v>
      </c>
      <c r="D45" s="132" t="s">
        <v>623</v>
      </c>
      <c r="E45" s="132">
        <v>2</v>
      </c>
      <c r="F45" s="132" t="s">
        <v>732</v>
      </c>
      <c r="G45" s="135" t="s">
        <v>737</v>
      </c>
      <c r="H45" s="132" t="s">
        <v>683</v>
      </c>
      <c r="I45" s="198"/>
    </row>
    <row r="46" spans="1:12" ht="15.75" thickBot="1"/>
    <row r="47" spans="1:12">
      <c r="A47" s="553" t="s">
        <v>738</v>
      </c>
      <c r="B47" s="554" t="s">
        <v>739</v>
      </c>
      <c r="C47" s="546"/>
      <c r="D47" s="546"/>
      <c r="E47" s="539"/>
    </row>
    <row r="48" spans="1:12">
      <c r="A48" s="555" t="s">
        <v>740</v>
      </c>
      <c r="B48" s="556"/>
      <c r="E48" s="198"/>
    </row>
    <row r="49" spans="1:7">
      <c r="A49" s="540"/>
      <c r="B49" s="126" t="s">
        <v>741</v>
      </c>
      <c r="C49" s="126" t="s">
        <v>742</v>
      </c>
      <c r="D49" s="126" t="s">
        <v>743</v>
      </c>
      <c r="E49" s="541" t="s">
        <v>744</v>
      </c>
      <c r="G49" s="557"/>
    </row>
    <row r="50" spans="1:7">
      <c r="A50" s="558" t="s">
        <v>745</v>
      </c>
      <c r="B50" s="314">
        <v>0.47</v>
      </c>
      <c r="C50" s="314">
        <f>0.33</f>
        <v>0.33</v>
      </c>
      <c r="D50" s="124">
        <v>1.2E-4</v>
      </c>
      <c r="E50" s="317">
        <v>1.6000000000000001E-4</v>
      </c>
    </row>
    <row r="51" spans="1:7">
      <c r="A51" s="558" t="s">
        <v>746</v>
      </c>
      <c r="B51" s="320">
        <v>0.24</v>
      </c>
      <c r="C51" s="320">
        <f>0.22</f>
        <v>0.22</v>
      </c>
      <c r="D51" s="321">
        <v>1.1E-4</v>
      </c>
      <c r="E51" s="322">
        <v>1.2E-4</v>
      </c>
    </row>
    <row r="52" spans="1:7">
      <c r="A52" s="558" t="s">
        <v>747</v>
      </c>
      <c r="B52" s="320">
        <v>0.2</v>
      </c>
      <c r="C52" s="320">
        <f>0.18</f>
        <v>0.18</v>
      </c>
      <c r="D52" s="321">
        <v>1E-4</v>
      </c>
      <c r="E52" s="398">
        <v>1E-4</v>
      </c>
    </row>
    <row r="53" spans="1:7">
      <c r="A53" s="558" t="s">
        <v>748</v>
      </c>
      <c r="B53" s="314" t="s">
        <v>627</v>
      </c>
      <c r="C53" s="314" t="s">
        <v>627</v>
      </c>
      <c r="D53" s="314" t="s">
        <v>627</v>
      </c>
      <c r="E53" s="198" t="s">
        <v>627</v>
      </c>
      <c r="G53" s="557"/>
    </row>
    <row r="54" spans="1:7">
      <c r="A54" s="558" t="s">
        <v>749</v>
      </c>
      <c r="B54" s="314">
        <v>5.63</v>
      </c>
      <c r="C54" s="314">
        <v>1.6890000000000001</v>
      </c>
      <c r="D54" s="314">
        <v>2.0999999999999999E-3</v>
      </c>
      <c r="E54" s="317">
        <v>1.0300000000000001E-3</v>
      </c>
    </row>
    <row r="55" spans="1:7" ht="15.75" thickBot="1">
      <c r="A55" s="559" t="s">
        <v>750</v>
      </c>
      <c r="B55" s="318">
        <v>5.63</v>
      </c>
      <c r="C55" s="318">
        <v>1.6890000000000001</v>
      </c>
      <c r="D55" s="318">
        <v>2.0999999999999999E-3</v>
      </c>
      <c r="E55" s="319">
        <v>1.0300000000000001E-3</v>
      </c>
      <c r="G55" s="557"/>
    </row>
    <row r="56" spans="1:7" ht="15.75" thickBot="1">
      <c r="A56" s="560"/>
    </row>
    <row r="57" spans="1:7">
      <c r="A57" s="553" t="s">
        <v>751</v>
      </c>
      <c r="B57" s="554" t="s">
        <v>752</v>
      </c>
      <c r="C57" s="546"/>
      <c r="D57" s="546"/>
      <c r="E57" s="539"/>
    </row>
    <row r="58" spans="1:7">
      <c r="A58" s="555" t="s">
        <v>753</v>
      </c>
      <c r="E58" s="198"/>
    </row>
    <row r="59" spans="1:7">
      <c r="A59" s="540"/>
      <c r="B59" s="126" t="s">
        <v>741</v>
      </c>
      <c r="C59" s="126" t="s">
        <v>742</v>
      </c>
      <c r="D59" s="126" t="s">
        <v>743</v>
      </c>
      <c r="E59" s="541" t="s">
        <v>744</v>
      </c>
    </row>
    <row r="60" spans="1:7">
      <c r="A60" s="558" t="s">
        <v>745</v>
      </c>
      <c r="B60" s="314">
        <v>1.21</v>
      </c>
      <c r="C60" s="314">
        <v>0.74</v>
      </c>
      <c r="D60" s="124">
        <v>6.6E-4</v>
      </c>
      <c r="E60" s="317">
        <v>1.3500000000000001E-3</v>
      </c>
    </row>
    <row r="61" spans="1:7">
      <c r="A61" s="558" t="s">
        <v>746</v>
      </c>
      <c r="B61" s="314">
        <v>0.56999999999999995</v>
      </c>
      <c r="C61" s="314">
        <v>0.48</v>
      </c>
      <c r="D61" s="124">
        <v>6.4000000000000005E-4</v>
      </c>
      <c r="E61" s="317">
        <v>1E-3</v>
      </c>
    </row>
    <row r="62" spans="1:7">
      <c r="A62" s="558" t="s">
        <v>747</v>
      </c>
      <c r="B62" s="320">
        <v>0.48</v>
      </c>
      <c r="C62" s="320">
        <v>0.39</v>
      </c>
      <c r="D62" s="321">
        <v>6.8000000000000005E-4</v>
      </c>
      <c r="E62" s="398">
        <v>9.1E-4</v>
      </c>
    </row>
    <row r="63" spans="1:7">
      <c r="A63" s="558" t="s">
        <v>748</v>
      </c>
      <c r="B63" s="314" t="s">
        <v>627</v>
      </c>
      <c r="C63" s="314" t="s">
        <v>627</v>
      </c>
      <c r="D63" s="124" t="s">
        <v>627</v>
      </c>
      <c r="E63" s="317" t="s">
        <v>627</v>
      </c>
    </row>
    <row r="64" spans="1:7">
      <c r="A64" s="558" t="s">
        <v>749</v>
      </c>
      <c r="B64" s="314">
        <v>12.9</v>
      </c>
      <c r="C64" s="314">
        <v>3.87</v>
      </c>
      <c r="D64" s="124">
        <v>4.4000000000000003E-3</v>
      </c>
      <c r="E64" s="317">
        <v>3.2000000000000002E-3</v>
      </c>
    </row>
    <row r="65" spans="1:5" ht="15.75" thickBot="1">
      <c r="A65" s="559" t="s">
        <v>750</v>
      </c>
      <c r="B65" s="318">
        <v>12.9</v>
      </c>
      <c r="C65" s="318">
        <v>3.87</v>
      </c>
      <c r="D65" s="561">
        <v>4.4000000000000003E-3</v>
      </c>
      <c r="E65" s="319">
        <v>3.2000000000000002E-3</v>
      </c>
    </row>
    <row r="67" spans="1:5">
      <c r="A67" s="553" t="s">
        <v>754</v>
      </c>
      <c r="B67" s="554" t="s">
        <v>755</v>
      </c>
      <c r="C67" s="546"/>
      <c r="D67" s="546"/>
      <c r="E67" s="539"/>
    </row>
    <row r="68" spans="1:5">
      <c r="A68" s="555" t="s">
        <v>756</v>
      </c>
      <c r="E68" s="198"/>
    </row>
    <row r="69" spans="1:5">
      <c r="A69" s="540"/>
      <c r="B69" s="126" t="s">
        <v>741</v>
      </c>
      <c r="C69" s="126" t="s">
        <v>742</v>
      </c>
      <c r="D69" s="126" t="s">
        <v>743</v>
      </c>
      <c r="E69" s="541" t="s">
        <v>744</v>
      </c>
    </row>
    <row r="70" spans="1:5">
      <c r="A70" s="558" t="s">
        <v>745</v>
      </c>
      <c r="B70" s="552">
        <v>0.22</v>
      </c>
      <c r="C70" s="314">
        <v>0.18</v>
      </c>
      <c r="D70" s="124">
        <v>1.1E-4</v>
      </c>
      <c r="E70" s="317">
        <v>1.2E-4</v>
      </c>
    </row>
    <row r="71" spans="1:5">
      <c r="A71" s="558" t="s">
        <v>746</v>
      </c>
      <c r="B71" s="552">
        <v>0.12</v>
      </c>
      <c r="C71" s="314">
        <v>0.12</v>
      </c>
      <c r="D71" s="323">
        <v>9.0000000000000006E-5</v>
      </c>
      <c r="E71" s="324">
        <v>1E-4</v>
      </c>
    </row>
    <row r="72" spans="1:5">
      <c r="A72" s="558" t="s">
        <v>747</v>
      </c>
      <c r="B72" s="552">
        <v>0.11</v>
      </c>
      <c r="C72" s="552">
        <v>0.1</v>
      </c>
      <c r="D72" s="323">
        <v>8.0000000000000007E-5</v>
      </c>
      <c r="E72" s="324">
        <v>8.0000000000000007E-5</v>
      </c>
    </row>
    <row r="73" spans="1:5">
      <c r="A73" s="558" t="s">
        <v>748</v>
      </c>
      <c r="B73" s="314" t="s">
        <v>627</v>
      </c>
      <c r="C73" s="314" t="s">
        <v>627</v>
      </c>
      <c r="D73" s="314" t="s">
        <v>627</v>
      </c>
      <c r="E73" s="198" t="s">
        <v>627</v>
      </c>
    </row>
    <row r="74" spans="1:5">
      <c r="A74" s="558" t="s">
        <v>749</v>
      </c>
      <c r="B74" s="314">
        <v>3.68</v>
      </c>
      <c r="C74" s="314">
        <v>1.1100000000000001</v>
      </c>
      <c r="D74" s="562">
        <v>1.6999999999999999E-3</v>
      </c>
      <c r="E74" s="317">
        <v>8.3000000000000001E-4</v>
      </c>
    </row>
    <row r="75" spans="1:5" ht="15.75" thickBot="1">
      <c r="A75" s="559" t="s">
        <v>750</v>
      </c>
      <c r="B75" s="318">
        <v>3.68</v>
      </c>
      <c r="C75" s="318">
        <v>1.1100000000000001</v>
      </c>
      <c r="D75" s="563">
        <v>1.6999999999999999E-3</v>
      </c>
      <c r="E75" s="319">
        <v>8.3000000000000001E-4</v>
      </c>
    </row>
    <row r="79" spans="1:5">
      <c r="A79" s="553" t="s">
        <v>757</v>
      </c>
      <c r="B79" s="564" t="s">
        <v>758</v>
      </c>
      <c r="C79" s="546"/>
      <c r="D79" s="539"/>
    </row>
    <row r="80" spans="1:5">
      <c r="A80" s="555" t="s">
        <v>759</v>
      </c>
      <c r="B80" s="556"/>
      <c r="D80" s="198"/>
    </row>
    <row r="81" spans="1:4">
      <c r="A81" s="540" t="s">
        <v>760</v>
      </c>
      <c r="B81" s="565" t="s">
        <v>761</v>
      </c>
      <c r="C81" s="565" t="s">
        <v>762</v>
      </c>
      <c r="D81" s="566" t="s">
        <v>763</v>
      </c>
    </row>
    <row r="82" spans="1:4">
      <c r="A82" s="542" t="s">
        <v>764</v>
      </c>
      <c r="B82" s="567">
        <v>8.5000000000000006E-2</v>
      </c>
      <c r="C82" s="567">
        <v>5.6000000000000001E-2</v>
      </c>
      <c r="D82" s="568">
        <v>4.1000000000000002E-2</v>
      </c>
    </row>
    <row r="83" spans="1:4">
      <c r="A83" s="542" t="s">
        <v>765</v>
      </c>
      <c r="B83" s="567">
        <v>3.5000000000000003E-2</v>
      </c>
      <c r="C83" s="567">
        <v>2.3E-2</v>
      </c>
      <c r="D83" s="568">
        <v>1.7999999999999999E-2</v>
      </c>
    </row>
    <row r="84" spans="1:4">
      <c r="A84" s="542" t="s">
        <v>766</v>
      </c>
      <c r="B84" s="567">
        <v>1.9E-2</v>
      </c>
      <c r="C84" s="567">
        <v>1.2999999999999999E-2</v>
      </c>
      <c r="D84" s="568">
        <v>0.01</v>
      </c>
    </row>
    <row r="85" spans="1:4">
      <c r="A85" s="542" t="s">
        <v>767</v>
      </c>
      <c r="B85" s="569">
        <v>0.29199999999999998</v>
      </c>
      <c r="C85" s="569">
        <v>0.23960000000000001</v>
      </c>
      <c r="D85" s="570">
        <v>0.18959999999999999</v>
      </c>
    </row>
    <row r="86" spans="1:4">
      <c r="A86" s="542" t="s">
        <v>768</v>
      </c>
      <c r="B86" s="569">
        <v>0.19889999999999999</v>
      </c>
      <c r="C86" s="569">
        <v>0.15790000000000001</v>
      </c>
      <c r="D86" s="570">
        <v>0.1169</v>
      </c>
    </row>
    <row r="87" spans="1:4">
      <c r="A87" s="542" t="s">
        <v>769</v>
      </c>
      <c r="B87" s="569">
        <v>0.1181</v>
      </c>
      <c r="C87" s="569">
        <v>8.9599999999999999E-2</v>
      </c>
      <c r="D87" s="570">
        <v>6.0699999999999997E-2</v>
      </c>
    </row>
    <row r="88" spans="1:4">
      <c r="A88" s="542" t="s">
        <v>770</v>
      </c>
      <c r="B88" s="569">
        <v>0.29199999999999998</v>
      </c>
      <c r="C88" s="569">
        <v>0.23960000000000001</v>
      </c>
      <c r="D88" s="570">
        <v>0.18959999999999999</v>
      </c>
    </row>
    <row r="89" spans="1:4">
      <c r="A89" s="542" t="s">
        <v>771</v>
      </c>
      <c r="B89" s="569">
        <v>0.19889999999999999</v>
      </c>
      <c r="C89" s="569">
        <v>0.15790000000000001</v>
      </c>
      <c r="D89" s="570">
        <v>0.1169</v>
      </c>
    </row>
    <row r="90" spans="1:4">
      <c r="A90" s="542" t="s">
        <v>772</v>
      </c>
      <c r="B90" s="569">
        <v>0.1181</v>
      </c>
      <c r="C90" s="569">
        <v>8.9599999999999999E-2</v>
      </c>
      <c r="D90" s="570">
        <v>6.0699999999999997E-2</v>
      </c>
    </row>
    <row r="91" spans="1:4">
      <c r="A91" s="542" t="s">
        <v>773</v>
      </c>
      <c r="B91" s="569">
        <v>0.1573</v>
      </c>
      <c r="C91" s="569">
        <v>0.1101</v>
      </c>
      <c r="D91" s="570">
        <v>6.9599999999999995E-2</v>
      </c>
    </row>
    <row r="92" spans="1:4">
      <c r="A92" s="542" t="s">
        <v>774</v>
      </c>
      <c r="B92" s="569">
        <v>8.4099999999999994E-2</v>
      </c>
      <c r="C92" s="569">
        <v>6.0400000000000002E-2</v>
      </c>
      <c r="D92" s="570">
        <v>3.73E-2</v>
      </c>
    </row>
    <row r="93" spans="1:4">
      <c r="A93" s="542" t="s">
        <v>775</v>
      </c>
      <c r="B93" s="569">
        <v>3.5999999999999997E-2</v>
      </c>
      <c r="C93" s="569">
        <v>2.6700000000000002E-2</v>
      </c>
      <c r="D93" s="570">
        <v>1.6E-2</v>
      </c>
    </row>
    <row r="94" spans="1:4">
      <c r="A94" s="542" t="s">
        <v>776</v>
      </c>
      <c r="B94" s="569">
        <v>8.0199999999999994E-2</v>
      </c>
      <c r="C94" s="569">
        <v>6.9000000000000006E-2</v>
      </c>
      <c r="D94" s="570">
        <v>5.2499999999999998E-2</v>
      </c>
    </row>
    <row r="95" spans="1:4">
      <c r="A95" s="542" t="s">
        <v>777</v>
      </c>
      <c r="B95" s="569">
        <v>3.6200000000000003E-2</v>
      </c>
      <c r="C95" s="569">
        <v>3.0700000000000002E-2</v>
      </c>
      <c r="D95" s="570">
        <v>2.3199999999999998E-2</v>
      </c>
    </row>
    <row r="96" spans="1:4">
      <c r="A96" s="542" t="s">
        <v>778</v>
      </c>
      <c r="B96" s="569">
        <v>1.23E-2</v>
      </c>
      <c r="C96" s="569">
        <v>1.0200000000000001E-2</v>
      </c>
      <c r="D96" s="570">
        <v>7.7000000000000002E-3</v>
      </c>
    </row>
    <row r="97" spans="1:4">
      <c r="A97" s="542" t="s">
        <v>779</v>
      </c>
      <c r="B97" s="569">
        <v>0.1933</v>
      </c>
      <c r="C97" s="569">
        <v>0.1593</v>
      </c>
      <c r="D97" s="570">
        <v>9.9500000000000005E-2</v>
      </c>
    </row>
    <row r="98" spans="1:4">
      <c r="A98" s="542" t="s">
        <v>780</v>
      </c>
      <c r="B98" s="569">
        <v>0.1157</v>
      </c>
      <c r="C98" s="569">
        <v>8.5699999999999998E-2</v>
      </c>
      <c r="D98" s="570">
        <v>5.91E-2</v>
      </c>
    </row>
    <row r="99" spans="1:4" ht="15.75" thickBot="1">
      <c r="A99" s="543" t="s">
        <v>781</v>
      </c>
      <c r="B99" s="571">
        <v>5.7700000000000001E-2</v>
      </c>
      <c r="C99" s="571">
        <v>3.6999999999999998E-2</v>
      </c>
      <c r="D99" s="572">
        <v>2.9100000000000001E-2</v>
      </c>
    </row>
  </sheetData>
  <sheetProtection algorithmName="SHA-512" hashValue="Oo/tsJl2odLcFlhr0Jg/Nd2DEyehYbG+pOipxvY6ptpvmidrMEaqQcvCArq/pNWCRjJJ3Vbdqs8qx+gagLoxbg==" saltValue="dGUqjMP3UhquvbZJ5eq2HA==" spinCount="100000" sheet="1" formatCells="0" formatColumns="0" autoFilter="0"/>
  <autoFilter ref="B25:J45" xr:uid="{00000000-0009-0000-0000-00000E000000}"/>
  <pageMargins left="0.7" right="0.7" top="0.75" bottom="0.75" header="0.51180555555555496" footer="0.51180555555555496"/>
  <pageSetup paperSize="9" firstPageNumber="0" orientation="portrait" horizontalDpi="300" verticalDpi="300" r:id="rId1"/>
  <headerFooter>
    <oddFooter>&amp;C&amp;1#&amp;"Arial"&amp;10&amp;K000000---Internal Use---</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Tabelle27"/>
  <dimension ref="A1:N14"/>
  <sheetViews>
    <sheetView workbookViewId="0"/>
  </sheetViews>
  <sheetFormatPr defaultColWidth="9.140625" defaultRowHeight="15"/>
  <cols>
    <col min="1" max="1" width="81.7109375" customWidth="1"/>
    <col min="2" max="2" width="17.28515625" customWidth="1"/>
    <col min="3" max="3" width="37.28515625" customWidth="1"/>
    <col min="4" max="4" width="32.5703125" customWidth="1"/>
    <col min="5" max="5" width="26.7109375" customWidth="1"/>
    <col min="6" max="6" width="18.42578125" customWidth="1"/>
    <col min="7" max="8" width="32.42578125" customWidth="1"/>
    <col min="9" max="9" width="36" customWidth="1"/>
    <col min="10" max="10" width="25.140625" customWidth="1"/>
    <col min="11" max="12" width="27.140625" customWidth="1"/>
    <col min="13" max="13" width="23.28515625" customWidth="1"/>
    <col min="14" max="14" width="19.5703125" customWidth="1"/>
  </cols>
  <sheetData>
    <row r="1" spans="1:14">
      <c r="A1">
        <v>1</v>
      </c>
      <c r="B1">
        <v>2</v>
      </c>
      <c r="C1">
        <v>3</v>
      </c>
      <c r="D1">
        <v>4</v>
      </c>
      <c r="E1">
        <v>5</v>
      </c>
      <c r="F1">
        <v>6</v>
      </c>
      <c r="G1">
        <v>7</v>
      </c>
      <c r="H1">
        <v>8</v>
      </c>
      <c r="I1">
        <v>9</v>
      </c>
      <c r="J1">
        <v>10</v>
      </c>
      <c r="K1">
        <v>11</v>
      </c>
      <c r="L1">
        <v>12</v>
      </c>
      <c r="M1">
        <v>13</v>
      </c>
      <c r="N1">
        <v>14</v>
      </c>
    </row>
    <row r="2" spans="1:14" ht="15.75" thickBot="1">
      <c r="A2" s="78" t="s">
        <v>782</v>
      </c>
      <c r="B2" s="119" t="s">
        <v>478</v>
      </c>
      <c r="C2" s="120" t="s">
        <v>311</v>
      </c>
      <c r="D2" s="120" t="s">
        <v>331</v>
      </c>
      <c r="E2" s="120" t="s">
        <v>332</v>
      </c>
      <c r="F2" s="120" t="s">
        <v>479</v>
      </c>
      <c r="G2" s="121" t="s">
        <v>783</v>
      </c>
      <c r="H2" s="121" t="s">
        <v>784</v>
      </c>
      <c r="I2" s="120" t="s">
        <v>785</v>
      </c>
      <c r="J2" s="120" t="s">
        <v>786</v>
      </c>
      <c r="K2" s="121" t="s">
        <v>787</v>
      </c>
      <c r="L2" s="121" t="s">
        <v>788</v>
      </c>
      <c r="M2" s="120" t="s">
        <v>789</v>
      </c>
      <c r="N2" s="120" t="s">
        <v>790</v>
      </c>
    </row>
    <row r="3" spans="1:14" ht="45.75" thickBot="1">
      <c r="A3" s="104" t="str">
        <f>B3&amp;C3&amp;D3&amp;E3&amp;F3</f>
        <v>IndoorGranules, fine granulesApplication of granulesManualBody</v>
      </c>
      <c r="B3" s="104" t="s">
        <v>496</v>
      </c>
      <c r="C3" s="104" t="s">
        <v>567</v>
      </c>
      <c r="D3" s="94" t="s">
        <v>597</v>
      </c>
      <c r="E3" s="104" t="s">
        <v>583</v>
      </c>
      <c r="F3" s="104" t="s">
        <v>420</v>
      </c>
      <c r="G3" s="104"/>
      <c r="H3" s="104"/>
      <c r="I3" s="95" t="s">
        <v>791</v>
      </c>
      <c r="J3" s="104" t="s">
        <v>792</v>
      </c>
      <c r="K3" s="104">
        <v>69</v>
      </c>
      <c r="L3" s="104">
        <v>253</v>
      </c>
      <c r="M3" s="104" t="s">
        <v>793</v>
      </c>
      <c r="N3" s="104" t="s">
        <v>792</v>
      </c>
    </row>
    <row r="4" spans="1:14" ht="45">
      <c r="A4" s="104" t="str">
        <f t="shared" ref="A4:A14" si="0">B4&amp;C4&amp;D4&amp;E4&amp;F4</f>
        <v>IndoorGranules, fine granulesApplication of granulesManualHands</v>
      </c>
      <c r="B4" s="104" t="s">
        <v>496</v>
      </c>
      <c r="C4" s="104" t="s">
        <v>567</v>
      </c>
      <c r="D4" s="104" t="s">
        <v>597</v>
      </c>
      <c r="E4" s="104" t="s">
        <v>583</v>
      </c>
      <c r="F4" s="104" t="s">
        <v>418</v>
      </c>
      <c r="G4" s="104"/>
      <c r="H4" s="104"/>
      <c r="I4" s="95" t="s">
        <v>791</v>
      </c>
      <c r="J4" s="104" t="s">
        <v>792</v>
      </c>
      <c r="K4" s="104">
        <v>29</v>
      </c>
      <c r="L4" s="104">
        <v>94</v>
      </c>
      <c r="M4" s="104" t="s">
        <v>793</v>
      </c>
      <c r="N4" s="104" t="s">
        <v>792</v>
      </c>
    </row>
    <row r="5" spans="1:14" ht="45">
      <c r="A5" s="104" t="str">
        <f t="shared" si="0"/>
        <v>IndoorGranules, fine granulesApplication of granulesManualInhalation</v>
      </c>
      <c r="B5" s="104" t="s">
        <v>496</v>
      </c>
      <c r="C5" s="104" t="s">
        <v>567</v>
      </c>
      <c r="D5" s="104" t="s">
        <v>597</v>
      </c>
      <c r="E5" s="104" t="s">
        <v>583</v>
      </c>
      <c r="F5" s="104" t="s">
        <v>109</v>
      </c>
      <c r="G5" s="104"/>
      <c r="H5" s="104"/>
      <c r="I5" s="95" t="s">
        <v>791</v>
      </c>
      <c r="J5" s="104" t="s">
        <v>792</v>
      </c>
      <c r="K5" s="104">
        <v>0.47</v>
      </c>
      <c r="L5" s="104">
        <v>1.5</v>
      </c>
      <c r="M5" s="104"/>
      <c r="N5" s="104" t="s">
        <v>792</v>
      </c>
    </row>
    <row r="6" spans="1:14" ht="75">
      <c r="A6" s="104" t="str">
        <f t="shared" si="0"/>
        <v>OutdoorGranules, fine granulesBroadcastVehicle-mountedBody</v>
      </c>
      <c r="B6" s="104" t="s">
        <v>508</v>
      </c>
      <c r="C6" s="104" t="s">
        <v>567</v>
      </c>
      <c r="D6" s="104" t="s">
        <v>592</v>
      </c>
      <c r="E6" s="104" t="s">
        <v>509</v>
      </c>
      <c r="F6" s="104" t="s">
        <v>420</v>
      </c>
      <c r="G6" s="104">
        <v>1.6E-2</v>
      </c>
      <c r="H6" s="104">
        <v>4.2999999999999997E-2</v>
      </c>
      <c r="I6" s="95" t="s">
        <v>793</v>
      </c>
      <c r="J6" s="104" t="s">
        <v>792</v>
      </c>
      <c r="K6" s="104">
        <v>4.7000000000000002E-3</v>
      </c>
      <c r="L6" s="104">
        <v>1.4999999999999999E-2</v>
      </c>
      <c r="M6" s="104" t="s">
        <v>793</v>
      </c>
      <c r="N6" s="104" t="s">
        <v>792</v>
      </c>
    </row>
    <row r="7" spans="1:14" ht="75">
      <c r="A7" s="104" t="str">
        <f t="shared" si="0"/>
        <v>OutdoorGranules, fine granulesBroadcastVehicle-mountedHands</v>
      </c>
      <c r="B7" s="104" t="s">
        <v>508</v>
      </c>
      <c r="C7" s="104" t="s">
        <v>567</v>
      </c>
      <c r="D7" s="104" t="s">
        <v>592</v>
      </c>
      <c r="E7" s="104" t="s">
        <v>509</v>
      </c>
      <c r="F7" s="104" t="s">
        <v>418</v>
      </c>
      <c r="G7" s="104">
        <v>1.5E-3</v>
      </c>
      <c r="H7" s="104">
        <v>6.8999999999999999E-3</v>
      </c>
      <c r="I7" s="95" t="s">
        <v>793</v>
      </c>
      <c r="J7" s="104" t="s">
        <v>792</v>
      </c>
      <c r="K7" s="104">
        <v>4.0999999999999999E-4</v>
      </c>
      <c r="L7" s="104">
        <v>1.2999999999999999E-3</v>
      </c>
      <c r="M7" s="104" t="s">
        <v>793</v>
      </c>
      <c r="N7" s="104" t="s">
        <v>792</v>
      </c>
    </row>
    <row r="8" spans="1:14">
      <c r="A8" s="104" t="str">
        <f t="shared" si="0"/>
        <v>OutdoorGranules, fine granulesBroadcastVehicle-mountedInhalation</v>
      </c>
      <c r="B8" s="104" t="s">
        <v>508</v>
      </c>
      <c r="C8" s="104" t="s">
        <v>567</v>
      </c>
      <c r="D8" s="104" t="s">
        <v>592</v>
      </c>
      <c r="E8" s="104" t="s">
        <v>509</v>
      </c>
      <c r="F8" s="104" t="s">
        <v>109</v>
      </c>
      <c r="G8" s="104">
        <v>2.1000000000000001E-2</v>
      </c>
      <c r="H8" s="104">
        <v>7.8E-2</v>
      </c>
      <c r="I8" s="95"/>
      <c r="J8" s="104" t="s">
        <v>792</v>
      </c>
      <c r="K8" s="104">
        <v>1.1999999999999999E-3</v>
      </c>
      <c r="L8" s="104">
        <v>4.4999999999999997E-3</v>
      </c>
      <c r="M8" s="104"/>
      <c r="N8" s="104" t="s">
        <v>792</v>
      </c>
    </row>
    <row r="9" spans="1:14" ht="75">
      <c r="A9" s="104" t="str">
        <f t="shared" si="0"/>
        <v>OutdoorGranules, fine granulesIn furrowVehicle-mountedBody</v>
      </c>
      <c r="B9" s="104" t="s">
        <v>508</v>
      </c>
      <c r="C9" s="104" t="s">
        <v>567</v>
      </c>
      <c r="D9" s="104" t="s">
        <v>593</v>
      </c>
      <c r="E9" s="104" t="s">
        <v>509</v>
      </c>
      <c r="F9" s="104" t="s">
        <v>420</v>
      </c>
      <c r="G9" s="104">
        <v>1.6E-2</v>
      </c>
      <c r="H9" s="104">
        <v>4.2999999999999997E-2</v>
      </c>
      <c r="I9" s="95" t="s">
        <v>793</v>
      </c>
      <c r="J9" s="104" t="s">
        <v>792</v>
      </c>
      <c r="K9" s="104">
        <v>4.7000000000000002E-3</v>
      </c>
      <c r="L9" s="104">
        <v>1.4999999999999999E-2</v>
      </c>
      <c r="M9" s="104" t="s">
        <v>793</v>
      </c>
      <c r="N9" s="104" t="s">
        <v>792</v>
      </c>
    </row>
    <row r="10" spans="1:14" ht="75">
      <c r="A10" s="104" t="str">
        <f t="shared" si="0"/>
        <v>OutdoorGranules, fine granulesIn furrowVehicle-mountedHands</v>
      </c>
      <c r="B10" s="104" t="s">
        <v>508</v>
      </c>
      <c r="C10" s="104" t="s">
        <v>567</v>
      </c>
      <c r="D10" s="104" t="s">
        <v>593</v>
      </c>
      <c r="E10" s="104" t="s">
        <v>509</v>
      </c>
      <c r="F10" s="104" t="s">
        <v>418</v>
      </c>
      <c r="G10" s="104">
        <v>1.5E-3</v>
      </c>
      <c r="H10" s="104">
        <v>6.8999999999999999E-3</v>
      </c>
      <c r="I10" s="95" t="s">
        <v>793</v>
      </c>
      <c r="J10" s="104" t="s">
        <v>792</v>
      </c>
      <c r="K10" s="104">
        <v>4.0999999999999999E-4</v>
      </c>
      <c r="L10" s="104">
        <v>1.2999999999999999E-3</v>
      </c>
      <c r="M10" s="104" t="s">
        <v>793</v>
      </c>
      <c r="N10" s="104" t="s">
        <v>792</v>
      </c>
    </row>
    <row r="11" spans="1:14">
      <c r="A11" s="104" t="str">
        <f t="shared" si="0"/>
        <v>OutdoorGranules, fine granulesIn furrowVehicle-mountedInhalation</v>
      </c>
      <c r="B11" s="104" t="s">
        <v>508</v>
      </c>
      <c r="C11" s="104" t="s">
        <v>567</v>
      </c>
      <c r="D11" s="104" t="s">
        <v>593</v>
      </c>
      <c r="E11" s="104" t="s">
        <v>509</v>
      </c>
      <c r="F11" s="104" t="s">
        <v>109</v>
      </c>
      <c r="G11" s="104">
        <v>2.1000000000000001E-2</v>
      </c>
      <c r="H11" s="104">
        <v>7.8E-2</v>
      </c>
      <c r="I11" s="95"/>
      <c r="J11" s="104" t="s">
        <v>792</v>
      </c>
      <c r="K11" s="104">
        <v>1.1999999999999999E-3</v>
      </c>
      <c r="L11" s="104">
        <v>4.4999999999999997E-3</v>
      </c>
      <c r="M11" s="104"/>
      <c r="N11" s="104" t="s">
        <v>792</v>
      </c>
    </row>
    <row r="12" spans="1:14" ht="45">
      <c r="A12" s="104" t="str">
        <f t="shared" si="0"/>
        <v>OutdoorGranules, fine granulesManualManualBody</v>
      </c>
      <c r="B12" s="104" t="s">
        <v>508</v>
      </c>
      <c r="C12" s="104" t="s">
        <v>567</v>
      </c>
      <c r="D12" s="104" t="s">
        <v>583</v>
      </c>
      <c r="E12" s="104" t="s">
        <v>583</v>
      </c>
      <c r="F12" s="104" t="s">
        <v>420</v>
      </c>
      <c r="G12" s="104"/>
      <c r="H12" s="104"/>
      <c r="I12" s="95" t="s">
        <v>791</v>
      </c>
      <c r="J12" s="104" t="s">
        <v>792</v>
      </c>
      <c r="K12" s="104">
        <v>69</v>
      </c>
      <c r="L12" s="104">
        <v>253</v>
      </c>
      <c r="M12" s="104" t="s">
        <v>793</v>
      </c>
      <c r="N12" s="104" t="s">
        <v>792</v>
      </c>
    </row>
    <row r="13" spans="1:14" ht="45">
      <c r="A13" t="str">
        <f t="shared" si="0"/>
        <v>OutdoorGranules, fine granulesManualManualHands</v>
      </c>
      <c r="B13" s="104" t="s">
        <v>508</v>
      </c>
      <c r="C13" s="104" t="s">
        <v>567</v>
      </c>
      <c r="D13" s="104" t="s">
        <v>583</v>
      </c>
      <c r="E13" s="104" t="s">
        <v>583</v>
      </c>
      <c r="F13" s="104" t="s">
        <v>418</v>
      </c>
      <c r="G13" s="122"/>
      <c r="H13" s="122"/>
      <c r="I13" s="95" t="s">
        <v>791</v>
      </c>
      <c r="J13" s="104" t="s">
        <v>792</v>
      </c>
      <c r="K13" s="104">
        <v>29</v>
      </c>
      <c r="L13" s="104">
        <v>94</v>
      </c>
      <c r="M13" s="104" t="s">
        <v>793</v>
      </c>
      <c r="N13" s="104" t="s">
        <v>792</v>
      </c>
    </row>
    <row r="14" spans="1:14" ht="45">
      <c r="A14" t="str">
        <f t="shared" si="0"/>
        <v>OutdoorGranules, fine granulesManualManualInhalation</v>
      </c>
      <c r="B14" s="104" t="s">
        <v>508</v>
      </c>
      <c r="C14" s="104" t="s">
        <v>567</v>
      </c>
      <c r="D14" s="104" t="s">
        <v>583</v>
      </c>
      <c r="E14" s="104" t="s">
        <v>583</v>
      </c>
      <c r="F14" s="104" t="s">
        <v>109</v>
      </c>
      <c r="G14" s="122"/>
      <c r="H14" s="122"/>
      <c r="I14" s="95" t="s">
        <v>791</v>
      </c>
      <c r="J14" s="104" t="s">
        <v>792</v>
      </c>
      <c r="K14" s="104">
        <v>0.47</v>
      </c>
      <c r="L14" s="104">
        <v>1.5</v>
      </c>
      <c r="M14" s="104"/>
      <c r="N14" s="104" t="s">
        <v>792</v>
      </c>
    </row>
  </sheetData>
  <sheetProtection algorithmName="SHA-512" hashValue="7bBQ/ntJq0mBsmFc1AM0cqaUipzesBvYdypwV50wcedvc7ZWFBsf4g1QHdGDF3k/9Ynw8fMhXHHfp06A50GzQA==" saltValue="90A3RUSX8eIBpmy7a02Skw==" spinCount="100000" sheet="1" objects="1" scenarios="1" formatCells="0" formatColumns="0" autoFilter="0"/>
  <pageMargins left="0.7" right="0.7" top="0.75" bottom="0.75" header="0.51180555555555496" footer="0.51180555555555496"/>
  <pageSetup paperSize="9" firstPageNumber="0" orientation="portrait" horizontalDpi="300" verticalDpi="300" r:id="rId1"/>
  <headerFooter>
    <oddFooter>&amp;C&amp;1#&amp;"Arial"&amp;10&amp;K000000---Internal Use---</oddFooter>
  </headerFooter>
  <tableParts count="1">
    <tablePart r:id="rId2"/>
  </tableParts>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73DCE3-8FB9-4E0C-8B11-B447C57A28B8}">
  <sheetPr codeName="Tabelle34"/>
  <dimension ref="A1:Z75"/>
  <sheetViews>
    <sheetView workbookViewId="0"/>
  </sheetViews>
  <sheetFormatPr defaultColWidth="9.140625" defaultRowHeight="15"/>
  <cols>
    <col min="1" max="1" width="24" customWidth="1"/>
    <col min="2" max="11" width="17.7109375" customWidth="1"/>
    <col min="12" max="21" width="17.7109375" hidden="1" customWidth="1"/>
    <col min="22" max="26" width="17.7109375" customWidth="1"/>
  </cols>
  <sheetData>
    <row r="1" spans="1:22" ht="19.5" thickBot="1">
      <c r="A1" s="22" t="str">
        <f>IF(AND(LEFT(InOut,3)="Ind",E4="No"), "Resident exposure for "&amp;i_ProductName&amp;" - not relevant for indoor applications","Resident exposure for "&amp;i_ProductName)</f>
        <v xml:space="preserve">Resident exposure for </v>
      </c>
    </row>
    <row r="2" spans="1:22" ht="30.75" customHeight="1">
      <c r="A2" s="229" t="s">
        <v>512</v>
      </c>
      <c r="B2" s="1063" t="e" cm="1">
        <f t="array" ref="B2">i_CropType&amp;" ("&amp;i_ByCropType&amp;")"</f>
        <v>#N/A</v>
      </c>
      <c r="C2" s="1063"/>
      <c r="D2" s="361" t="s">
        <v>794</v>
      </c>
      <c r="E2" s="236" t="str">
        <f>i_Season</f>
        <v>not relevant</v>
      </c>
      <c r="F2" s="236"/>
      <c r="G2" s="236"/>
      <c r="H2" s="236"/>
      <c r="I2" s="236"/>
      <c r="J2" s="236"/>
      <c r="K2" s="236"/>
      <c r="L2" s="236"/>
      <c r="M2" s="236"/>
      <c r="N2" s="236"/>
      <c r="O2" s="236"/>
      <c r="P2" s="236"/>
      <c r="Q2" s="236"/>
      <c r="R2" s="236"/>
      <c r="S2" s="236"/>
      <c r="T2" s="236"/>
      <c r="U2" s="236"/>
      <c r="V2" s="72"/>
    </row>
    <row r="3" spans="1:22" ht="15.75" thickBot="1">
      <c r="A3" s="666" t="s">
        <v>331</v>
      </c>
      <c r="B3" s="959">
        <f>i_AppMeth</f>
        <v>0</v>
      </c>
      <c r="C3" s="959"/>
      <c r="D3" s="235"/>
      <c r="E3" s="235"/>
      <c r="F3" s="390"/>
      <c r="G3" s="235"/>
      <c r="H3" s="235"/>
      <c r="I3" s="235"/>
      <c r="J3" s="235"/>
      <c r="K3" s="235"/>
      <c r="L3" s="235"/>
      <c r="M3" s="235"/>
      <c r="N3" s="235"/>
      <c r="O3" s="235"/>
      <c r="P3" s="235"/>
      <c r="Q3" s="235"/>
      <c r="R3" s="235"/>
      <c r="S3" s="235"/>
      <c r="T3" s="235"/>
      <c r="U3" s="235"/>
      <c r="V3" s="73"/>
    </row>
    <row r="4" spans="1:22" ht="30.75" thickBot="1">
      <c r="A4" s="666" t="s">
        <v>332</v>
      </c>
      <c r="B4" s="959">
        <f>i_AppEquip</f>
        <v>0</v>
      </c>
      <c r="C4" s="959"/>
      <c r="D4" s="585" t="s">
        <v>795</v>
      </c>
      <c r="E4" s="586" t="s">
        <v>455</v>
      </c>
      <c r="F4" s="235"/>
      <c r="G4" s="235"/>
      <c r="H4" s="235"/>
      <c r="I4" s="235"/>
      <c r="J4" s="235"/>
      <c r="K4" s="235"/>
      <c r="L4" s="235"/>
      <c r="M4" s="235"/>
      <c r="N4" s="235"/>
      <c r="O4" s="235"/>
      <c r="P4" s="235"/>
      <c r="Q4" s="235"/>
      <c r="R4" s="235"/>
      <c r="S4" s="235"/>
      <c r="T4" s="235"/>
      <c r="U4" s="235"/>
      <c r="V4" s="74" t="s">
        <v>796</v>
      </c>
    </row>
    <row r="5" spans="1:22" ht="30.75" thickBot="1">
      <c r="A5" s="666" t="s">
        <v>311</v>
      </c>
      <c r="B5" s="1064">
        <f>i_FormVal</f>
        <v>0</v>
      </c>
      <c r="C5" s="1064"/>
      <c r="D5" s="585" t="s">
        <v>797</v>
      </c>
      <c r="E5" s="586" t="s">
        <v>565</v>
      </c>
      <c r="F5" s="235"/>
      <c r="G5" s="235"/>
      <c r="H5" s="235"/>
      <c r="I5" s="235"/>
      <c r="J5" s="235"/>
      <c r="K5" s="235"/>
      <c r="L5" s="235"/>
      <c r="M5" s="235"/>
      <c r="N5" s="235"/>
      <c r="O5" s="235"/>
      <c r="P5" s="235"/>
      <c r="Q5" s="235"/>
      <c r="R5" s="235"/>
      <c r="S5" s="235"/>
      <c r="T5" s="235"/>
      <c r="U5" s="235"/>
      <c r="V5" s="74" t="s">
        <v>798</v>
      </c>
    </row>
    <row r="6" spans="1:22" ht="15" customHeight="1" thickBot="1">
      <c r="A6" s="666" t="s">
        <v>334</v>
      </c>
      <c r="B6" s="230">
        <f>i_Buffer</f>
        <v>0</v>
      </c>
      <c r="C6" s="237" t="s">
        <v>799</v>
      </c>
      <c r="D6" s="237"/>
      <c r="E6" s="237"/>
      <c r="F6" s="235"/>
      <c r="G6" s="235"/>
      <c r="H6" s="235"/>
      <c r="I6" s="235"/>
      <c r="J6" s="235"/>
      <c r="K6" s="235"/>
      <c r="L6" s="235"/>
      <c r="M6" s="235"/>
      <c r="N6" s="235"/>
      <c r="O6" s="235"/>
      <c r="P6" s="235"/>
      <c r="Q6" s="235"/>
      <c r="R6" s="235"/>
      <c r="S6" s="235"/>
      <c r="T6" s="235"/>
      <c r="U6" s="235"/>
      <c r="V6" s="74" t="s">
        <v>800</v>
      </c>
    </row>
    <row r="7" spans="1:22" ht="15" customHeight="1" thickBot="1">
      <c r="A7" s="678"/>
      <c r="B7" s="255"/>
      <c r="C7" s="1083">
        <f>i_SubstName1</f>
        <v>0</v>
      </c>
      <c r="D7" s="1084"/>
      <c r="E7" s="1084"/>
      <c r="F7" s="1085"/>
      <c r="G7" s="1083">
        <f>i_SubstName2</f>
        <v>0</v>
      </c>
      <c r="H7" s="1084"/>
      <c r="I7" s="1084"/>
      <c r="J7" s="1084"/>
      <c r="K7" s="1085"/>
      <c r="L7" s="1083">
        <f>i_SubstName3</f>
        <v>0</v>
      </c>
      <c r="M7" s="1084"/>
      <c r="N7" s="1084"/>
      <c r="O7" s="1084"/>
      <c r="P7" s="1085"/>
      <c r="Q7" s="1083">
        <f>i_SubstName4</f>
        <v>0</v>
      </c>
      <c r="R7" s="1084"/>
      <c r="S7" s="1084"/>
      <c r="T7" s="1084"/>
      <c r="U7" s="1085"/>
      <c r="V7" s="74"/>
    </row>
    <row r="8" spans="1:22" ht="15" customHeight="1">
      <c r="A8" s="1106" t="s">
        <v>801</v>
      </c>
      <c r="B8" s="1110"/>
      <c r="C8" s="1098">
        <f>i_AppRateAS1</f>
        <v>0</v>
      </c>
      <c r="D8" s="1099"/>
      <c r="E8" s="1099"/>
      <c r="F8" s="1100"/>
      <c r="G8" s="1098">
        <f>i_AppRateAS2</f>
        <v>0</v>
      </c>
      <c r="H8" s="1099"/>
      <c r="I8" s="1099"/>
      <c r="J8" s="1099"/>
      <c r="K8" s="1100"/>
      <c r="L8" s="1098">
        <f>i_AppRateAS3</f>
        <v>0</v>
      </c>
      <c r="M8" s="1099"/>
      <c r="N8" s="1099"/>
      <c r="O8" s="1099"/>
      <c r="P8" s="1100"/>
      <c r="Q8" s="1098">
        <f>i_AppRateAS4</f>
        <v>0</v>
      </c>
      <c r="R8" s="1099"/>
      <c r="S8" s="1099"/>
      <c r="T8" s="1099"/>
      <c r="U8" s="1100"/>
      <c r="V8" s="226" t="s">
        <v>401</v>
      </c>
    </row>
    <row r="9" spans="1:22" ht="30" customHeight="1">
      <c r="A9" s="1106" t="str">
        <f>"Concentration of active substance (in-use dilution for liquid applications)"&amp;" "&amp;IF(i_FormVal="Granules, fine granules","(kg a.s./kg)","(g a.s./L)")</f>
        <v>Concentration of active substance (in-use dilution for liquid applications) (g a.s./L)</v>
      </c>
      <c r="B9" s="1107"/>
      <c r="C9" s="869" t="e">
        <f>d_ConcAs1</f>
        <v>#DIV/0!</v>
      </c>
      <c r="D9" s="1002"/>
      <c r="E9" s="1002"/>
      <c r="F9" s="870"/>
      <c r="G9" s="869" t="e">
        <f>d_ConcAs2</f>
        <v>#DIV/0!</v>
      </c>
      <c r="H9" s="1002"/>
      <c r="I9" s="1002"/>
      <c r="J9" s="1002"/>
      <c r="K9" s="870"/>
      <c r="L9" s="869" t="e">
        <f>d_ConcAs3</f>
        <v>#DIV/0!</v>
      </c>
      <c r="M9" s="1002"/>
      <c r="N9" s="1002"/>
      <c r="O9" s="1002"/>
      <c r="P9" s="870"/>
      <c r="Q9" s="869" t="e">
        <f>d_ConcAs4</f>
        <v>#DIV/0!</v>
      </c>
      <c r="R9" s="1002"/>
      <c r="S9" s="1002"/>
      <c r="T9" s="1002"/>
      <c r="U9" s="870"/>
      <c r="V9" s="223" t="s">
        <v>802</v>
      </c>
    </row>
    <row r="10" spans="1:22" ht="15" customHeight="1">
      <c r="A10" s="1106" t="s">
        <v>354</v>
      </c>
      <c r="B10" s="1107"/>
      <c r="C10" s="1006">
        <f>i_AbsorpProduct1</f>
        <v>0</v>
      </c>
      <c r="D10" s="1007"/>
      <c r="E10" s="1007"/>
      <c r="F10" s="1008"/>
      <c r="G10" s="1006">
        <f>i_AbsorpProduct2</f>
        <v>0</v>
      </c>
      <c r="H10" s="1007"/>
      <c r="I10" s="1007"/>
      <c r="J10" s="1007"/>
      <c r="K10" s="1008"/>
      <c r="L10" s="1006">
        <f>i_AbsorpProduct3</f>
        <v>0</v>
      </c>
      <c r="M10" s="1007"/>
      <c r="N10" s="1007"/>
      <c r="O10" s="1007"/>
      <c r="P10" s="1008"/>
      <c r="Q10" s="1006">
        <f>i_AbsorpProduct4</f>
        <v>0</v>
      </c>
      <c r="R10" s="1007"/>
      <c r="S10" s="1007"/>
      <c r="T10" s="1007"/>
      <c r="U10" s="1008"/>
      <c r="V10" s="223" t="s">
        <v>406</v>
      </c>
    </row>
    <row r="11" spans="1:22" ht="15" customHeight="1">
      <c r="A11" s="1106" t="s">
        <v>355</v>
      </c>
      <c r="B11" s="1107"/>
      <c r="C11" s="1006">
        <f>i_AbsorpInuse1</f>
        <v>0</v>
      </c>
      <c r="D11" s="1007"/>
      <c r="E11" s="1007"/>
      <c r="F11" s="1008"/>
      <c r="G11" s="1006">
        <f>i_AbsorpInuse2</f>
        <v>0</v>
      </c>
      <c r="H11" s="1007"/>
      <c r="I11" s="1007"/>
      <c r="J11" s="1007"/>
      <c r="K11" s="1008"/>
      <c r="L11" s="1006">
        <f>i_AbsorpInuse3</f>
        <v>0</v>
      </c>
      <c r="M11" s="1007"/>
      <c r="N11" s="1007"/>
      <c r="O11" s="1007"/>
      <c r="P11" s="1008"/>
      <c r="Q11" s="1006">
        <f>i_AbsorpInuse4</f>
        <v>0</v>
      </c>
      <c r="R11" s="1007"/>
      <c r="S11" s="1007"/>
      <c r="T11" s="1007"/>
      <c r="U11" s="1008"/>
      <c r="V11" s="223" t="s">
        <v>526</v>
      </c>
    </row>
    <row r="12" spans="1:22" ht="15" customHeight="1">
      <c r="A12" s="1106" t="s">
        <v>803</v>
      </c>
      <c r="B12" s="1107"/>
      <c r="C12" s="1006">
        <f>IF(i_AbsorpOralInuse1&gt;0.8,1,i_AbsorpOralInuse1)</f>
        <v>1</v>
      </c>
      <c r="D12" s="1007"/>
      <c r="E12" s="1007"/>
      <c r="F12" s="1008"/>
      <c r="G12" s="1006">
        <f>IF(i_AbsorpOralInuse2&gt;0.8,1,i_AbsorpOralInuse2)</f>
        <v>1</v>
      </c>
      <c r="H12" s="1007"/>
      <c r="I12" s="1007"/>
      <c r="J12" s="1007"/>
      <c r="K12" s="1008"/>
      <c r="L12" s="1006">
        <f>IF(i_AbsorpOralInuse3&gt;0.8,1,i_AbsorpOralInuse3)</f>
        <v>1</v>
      </c>
      <c r="M12" s="1007"/>
      <c r="N12" s="1007"/>
      <c r="O12" s="1007"/>
      <c r="P12" s="1008"/>
      <c r="Q12" s="1006">
        <f>IF(i_AbsorpOralInuse4&gt;0.8,1,i_AbsorpOralInuse4)</f>
        <v>1</v>
      </c>
      <c r="R12" s="1007"/>
      <c r="S12" s="1007"/>
      <c r="T12" s="1007"/>
      <c r="U12" s="1008"/>
      <c r="V12" s="223" t="s">
        <v>804</v>
      </c>
    </row>
    <row r="13" spans="1:22" ht="15" customHeight="1">
      <c r="A13" s="1106" t="s">
        <v>805</v>
      </c>
      <c r="B13" s="1107"/>
      <c r="C13" s="1006">
        <f>i_AbsorpInhalation1</f>
        <v>1</v>
      </c>
      <c r="D13" s="1007"/>
      <c r="E13" s="1007"/>
      <c r="F13" s="1008"/>
      <c r="G13" s="1006">
        <f>i_AbsorpInhalation2</f>
        <v>1</v>
      </c>
      <c r="H13" s="1007"/>
      <c r="I13" s="1007"/>
      <c r="J13" s="1007"/>
      <c r="K13" s="1008"/>
      <c r="L13" s="1006">
        <f>i_AbsorpInhalation3</f>
        <v>1</v>
      </c>
      <c r="M13" s="1007"/>
      <c r="N13" s="1007"/>
      <c r="O13" s="1007"/>
      <c r="P13" s="1008"/>
      <c r="Q13" s="1006">
        <f>i_AbsorpInhalation4</f>
        <v>1</v>
      </c>
      <c r="R13" s="1007"/>
      <c r="S13" s="1007"/>
      <c r="T13" s="1007"/>
      <c r="U13" s="1008"/>
      <c r="V13" s="223" t="s">
        <v>804</v>
      </c>
    </row>
    <row r="14" spans="1:22" ht="32.25" customHeight="1">
      <c r="A14" s="1106" t="str">
        <f>IF(i_CropType="Amenity grassland","Turf transferable residue (i_AppRate*d_Turf)","Dislodgeable foliar residue (i_AppRate*i_DFR)")&amp;" (μg a.s./cm²)"</f>
        <v>Dislodgeable foliar residue (i_AppRate*i_DFR) (μg a.s./cm²)</v>
      </c>
      <c r="B14" s="1107"/>
      <c r="C14" s="869">
        <f>IF(i_CropType="Amenity grassland",d_TTR1,d_DFR1)</f>
        <v>0</v>
      </c>
      <c r="D14" s="1002"/>
      <c r="E14" s="1002"/>
      <c r="F14" s="870"/>
      <c r="G14" s="869">
        <f>IF(i_CropType="Amenity grassland",d_TTR2,d_DFR2)</f>
        <v>0</v>
      </c>
      <c r="H14" s="1002"/>
      <c r="I14" s="1002"/>
      <c r="J14" s="1002"/>
      <c r="K14" s="870"/>
      <c r="L14" s="869">
        <f>IF(i_CropType="Amenity grassland",d_TTR3,d_DFR3)</f>
        <v>0</v>
      </c>
      <c r="M14" s="1002"/>
      <c r="N14" s="1002"/>
      <c r="O14" s="1002"/>
      <c r="P14" s="870"/>
      <c r="Q14" s="869">
        <f>IF(i_CropType="Amenity grassland",d_TTR4,d_DFR4)</f>
        <v>0</v>
      </c>
      <c r="R14" s="1002"/>
      <c r="S14" s="1002"/>
      <c r="T14" s="1002"/>
      <c r="U14" s="870"/>
      <c r="V14" s="223" t="str">
        <f>IF(LEFT(A14,4)="Turf","d_TTR","d_DFR")</f>
        <v>d_DFR</v>
      </c>
    </row>
    <row r="15" spans="1:22" ht="29.25" customHeight="1">
      <c r="A15" s="227" t="s">
        <v>806</v>
      </c>
      <c r="B15" s="228"/>
      <c r="C15" s="1020" t="str">
        <f>i_Volat1</f>
        <v>low volatile substances having a vapour pressure of &lt; 0.005 Pa</v>
      </c>
      <c r="D15" s="1021"/>
      <c r="E15" s="1021"/>
      <c r="F15" s="1022"/>
      <c r="G15" s="1020" t="str">
        <f>i_Volat2</f>
        <v>low volatile substances having a vapour pressure of &lt; 0.005 Pa</v>
      </c>
      <c r="H15" s="1021"/>
      <c r="I15" s="1021"/>
      <c r="J15" s="1021"/>
      <c r="K15" s="1022"/>
      <c r="L15" s="1020" t="str">
        <f>i_Volat3</f>
        <v>low volatile substances having a vapour pressure of &lt; 0.005 Pa</v>
      </c>
      <c r="M15" s="1021"/>
      <c r="N15" s="1021"/>
      <c r="O15" s="1021"/>
      <c r="P15" s="1022"/>
      <c r="Q15" s="1020" t="str">
        <f>i_Volat4</f>
        <v>low volatile substances having a vapour pressure of &lt; 0.005 Pa</v>
      </c>
      <c r="R15" s="1021"/>
      <c r="S15" s="1021"/>
      <c r="T15" s="1021"/>
      <c r="U15" s="1022"/>
      <c r="V15" s="223" t="s">
        <v>807</v>
      </c>
    </row>
    <row r="16" spans="1:22">
      <c r="A16" s="24" t="s">
        <v>528</v>
      </c>
      <c r="B16" s="259"/>
      <c r="C16" s="869" t="str">
        <f>d_SVC1</f>
        <v>N/A</v>
      </c>
      <c r="D16" s="1002"/>
      <c r="E16" s="1002"/>
      <c r="F16" s="870"/>
      <c r="G16" s="1020" t="str">
        <f>d_SVC2</f>
        <v>N/A</v>
      </c>
      <c r="H16" s="1021"/>
      <c r="I16" s="1021"/>
      <c r="J16" s="1021"/>
      <c r="K16" s="1022"/>
      <c r="L16" s="1020" t="str">
        <f>d_SVC3</f>
        <v>N/A</v>
      </c>
      <c r="M16" s="1021"/>
      <c r="N16" s="1021"/>
      <c r="O16" s="1021"/>
      <c r="P16" s="1022"/>
      <c r="Q16" s="869" t="str">
        <f>d_SVC4</f>
        <v>N/A</v>
      </c>
      <c r="R16" s="1002"/>
      <c r="S16" s="1002"/>
      <c r="T16" s="1002"/>
      <c r="U16" s="870"/>
      <c r="V16" s="260" t="s">
        <v>529</v>
      </c>
    </row>
    <row r="17" spans="1:26" ht="15.75" thickBot="1">
      <c r="A17" s="234" t="s">
        <v>808</v>
      </c>
      <c r="B17" s="242"/>
      <c r="C17" s="1101">
        <f>d_VC1</f>
        <v>1E-3</v>
      </c>
      <c r="D17" s="1102"/>
      <c r="E17" s="1102"/>
      <c r="F17" s="1103"/>
      <c r="G17" s="1101">
        <f>d_VC2</f>
        <v>1E-3</v>
      </c>
      <c r="H17" s="1102"/>
      <c r="I17" s="1102"/>
      <c r="J17" s="1102"/>
      <c r="K17" s="1103"/>
      <c r="L17" s="1101">
        <f>d_VC3</f>
        <v>1E-3</v>
      </c>
      <c r="M17" s="1102"/>
      <c r="N17" s="1102"/>
      <c r="O17" s="1102"/>
      <c r="P17" s="1103"/>
      <c r="Q17" s="1101">
        <f>d_VC4</f>
        <v>1E-3</v>
      </c>
      <c r="R17" s="1102"/>
      <c r="S17" s="1102"/>
      <c r="T17" s="1102"/>
      <c r="U17" s="1103"/>
      <c r="V17" s="225" t="s">
        <v>809</v>
      </c>
    </row>
    <row r="18" spans="1:26" ht="15" customHeight="1">
      <c r="A18" s="337" t="s">
        <v>810</v>
      </c>
      <c r="B18" s="62"/>
      <c r="C18" s="62"/>
      <c r="D18" s="401" t="e">
        <f>IF(i_FormVal="Granules, fine granules","NA",INDEX(ay_ResidSpray, MATCH(i_AppMeth&amp;i_Buffer, key_ResidSpray, 0), 2))</f>
        <v>#N/A</v>
      </c>
      <c r="E18" s="338" t="s">
        <v>811</v>
      </c>
      <c r="F18" s="339"/>
    </row>
    <row r="19" spans="1:26" ht="15" customHeight="1">
      <c r="A19" s="28" t="s">
        <v>812</v>
      </c>
      <c r="B19" s="679"/>
      <c r="C19" s="679"/>
      <c r="D19" s="222" t="e">
        <f>IF(i_FormVal="Granules, fine granules","NA",INDEX(ay_ResidSpray, MATCH(i_AppMeth&amp;i_Buffer, key_ResidSpray, 0), 3))</f>
        <v>#N/A</v>
      </c>
      <c r="E19" s="340" t="s">
        <v>811</v>
      </c>
      <c r="F19" s="341"/>
    </row>
    <row r="20" spans="1:26">
      <c r="A20" s="28" t="s">
        <v>813</v>
      </c>
      <c r="B20" s="679"/>
      <c r="C20" s="679"/>
      <c r="D20" s="402" t="e">
        <f>IF(i_FormVal="Granules, fine granules","NA",INDEX(ay_ResidSpray,MATCH(i_AppMeth&amp;i_Buffer,key_ResidSpray,0),4))</f>
        <v>#N/A</v>
      </c>
      <c r="E20" s="340" t="s">
        <v>811</v>
      </c>
      <c r="F20" s="341"/>
    </row>
    <row r="21" spans="1:26">
      <c r="A21" s="28" t="s">
        <v>814</v>
      </c>
      <c r="B21" s="679"/>
      <c r="C21" s="679"/>
      <c r="D21" s="402" t="e">
        <f>IF(i_FormVal="Granules, fine granules","NA",INDEX(ay_ResidSpray, MATCH(i_AppMeth&amp;i_Buffer, key_ResidSpray, 0), 5))</f>
        <v>#N/A</v>
      </c>
      <c r="E21" s="340" t="s">
        <v>811</v>
      </c>
      <c r="F21" s="341"/>
    </row>
    <row r="22" spans="1:26" ht="15" customHeight="1">
      <c r="A22" s="28" t="s">
        <v>815</v>
      </c>
      <c r="B22" s="679"/>
      <c r="C22" s="679"/>
      <c r="D22" s="403" t="e">
        <f>IF(i_FormVal="Granules, fine granules","NA",INDEX(ay_AvgSpray, MATCH(i_AppMeth&amp;i_Buffer, key_AvgSpray, 0), 2))</f>
        <v>#N/A</v>
      </c>
      <c r="E22" s="340" t="s">
        <v>811</v>
      </c>
      <c r="F22" s="341"/>
    </row>
    <row r="23" spans="1:26" ht="15" customHeight="1">
      <c r="A23" s="28" t="s">
        <v>816</v>
      </c>
      <c r="B23" s="679"/>
      <c r="C23" s="679"/>
      <c r="D23" s="403" t="e">
        <f>IF(i_FormVal="Granules, fine granules","NA",INDEX(ay_AvgSpray, MATCH(i_AppMeth&amp;i_Buffer, key_AvgSpray, 0), 3))</f>
        <v>#N/A</v>
      </c>
      <c r="E23" s="340" t="s">
        <v>811</v>
      </c>
      <c r="F23" s="341"/>
    </row>
    <row r="24" spans="1:26">
      <c r="A24" s="28" t="s">
        <v>817</v>
      </c>
      <c r="B24" s="679"/>
      <c r="C24" s="679"/>
      <c r="D24" s="222" t="e">
        <f>IF(i_FormVal="Granules, fine granules","NA",INDEX(ay_AvgSpray, MATCH(i_AppMeth&amp;i_Buffer, key_AvgSpray, 0), 4))</f>
        <v>#N/A</v>
      </c>
      <c r="E24" s="340" t="s">
        <v>811</v>
      </c>
      <c r="F24" s="341"/>
    </row>
    <row r="25" spans="1:26">
      <c r="A25" s="28" t="s">
        <v>818</v>
      </c>
      <c r="B25" s="679"/>
      <c r="C25" s="679"/>
      <c r="D25" s="222" t="e">
        <f>IF(i_FormVal="Granules, fine granules","NA",INDEX(ay_AvgSpray, MATCH(i_AppMeth&amp;i_Buffer, key_AvgSpray, 0), 5))</f>
        <v>#N/A</v>
      </c>
      <c r="E25" s="340" t="s">
        <v>811</v>
      </c>
      <c r="F25" s="341"/>
    </row>
    <row r="26" spans="1:26" ht="17.25" customHeight="1">
      <c r="A26" s="1108" t="s">
        <v>333</v>
      </c>
      <c r="B26" s="1109"/>
      <c r="C26" s="1109"/>
      <c r="D26" s="342">
        <f>Driftreduction</f>
        <v>0</v>
      </c>
      <c r="E26" s="340"/>
      <c r="F26" s="74"/>
    </row>
    <row r="27" spans="1:26" ht="15" customHeight="1">
      <c r="A27" s="28" t="s">
        <v>819</v>
      </c>
      <c r="B27" s="679"/>
      <c r="C27" s="679"/>
      <c r="D27" s="419" t="e" cm="1">
        <f t="array" ref="D27">IF(AND(i_FormVal="Granules, fine granules",i_AppMeth&lt;&gt;"In furrow application of granules"),0.03,IF(i_AppMeth="In furrow application of granules","NA",INDEX(ay_ByCropType,(MATCH(i_ByCropType&amp;i_Season&amp;i_Buffer,key_ByCropType,0)),3)))</f>
        <v>#N/A</v>
      </c>
      <c r="E27" s="340"/>
      <c r="F27" s="74"/>
    </row>
    <row r="28" spans="1:26" ht="15" customHeight="1" thickBot="1">
      <c r="A28" s="68" t="s">
        <v>820</v>
      </c>
      <c r="B28" s="66"/>
      <c r="C28" s="66"/>
      <c r="D28" s="420" t="e" cm="1">
        <f t="array" ref="D28">IF(AND(i_FormVal="Granules, fine granules",i_AppMeth&lt;&gt;"In furrow application of granules"),0.03,IF(i_AppMeth="In furrow application of granules","NA",INDEX(ay_ByCropType,(MATCH(i_ByCropType&amp;i_Season&amp;i_Buffer,key_ByCropType,0)),4)))</f>
        <v>#N/A</v>
      </c>
      <c r="E28" s="343"/>
      <c r="F28" s="76"/>
    </row>
    <row r="30" spans="1:26" ht="15.75" thickBot="1">
      <c r="D30" s="21"/>
    </row>
    <row r="31" spans="1:26" ht="35.1" customHeight="1">
      <c r="A31" s="248" t="s">
        <v>542</v>
      </c>
      <c r="B31" s="1095">
        <f>i_SubstName1</f>
        <v>0</v>
      </c>
      <c r="C31" s="1096"/>
      <c r="D31" s="1096"/>
      <c r="E31" s="1096"/>
      <c r="F31" s="1097"/>
      <c r="G31" s="1095">
        <f>i_SubstName2</f>
        <v>0</v>
      </c>
      <c r="H31" s="1096"/>
      <c r="I31" s="1096"/>
      <c r="J31" s="1096"/>
      <c r="K31" s="1097"/>
      <c r="L31" s="1095">
        <f>i_SubstName3</f>
        <v>0</v>
      </c>
      <c r="M31" s="1096"/>
      <c r="N31" s="1096"/>
      <c r="O31" s="1096"/>
      <c r="P31" s="1097"/>
      <c r="Q31" s="1095">
        <f>i_SubstName4</f>
        <v>0</v>
      </c>
      <c r="R31" s="1096"/>
      <c r="S31" s="1096"/>
      <c r="T31" s="1096"/>
      <c r="U31" s="1097"/>
      <c r="V31" s="1095" t="s">
        <v>370</v>
      </c>
      <c r="W31" s="1096"/>
      <c r="X31" s="1096"/>
      <c r="Y31" s="1096"/>
      <c r="Z31" s="1097"/>
    </row>
    <row r="32" spans="1:26" ht="35.1" customHeight="1">
      <c r="A32" s="249" t="s">
        <v>821</v>
      </c>
      <c r="B32" s="656" t="s">
        <v>382</v>
      </c>
      <c r="C32" s="641" t="s">
        <v>383</v>
      </c>
      <c r="D32" s="641" t="s">
        <v>384</v>
      </c>
      <c r="E32" s="641" t="s">
        <v>385</v>
      </c>
      <c r="F32" s="653" t="s">
        <v>386</v>
      </c>
      <c r="G32" s="656" t="s">
        <v>382</v>
      </c>
      <c r="H32" s="641" t="s">
        <v>383</v>
      </c>
      <c r="I32" s="641" t="s">
        <v>384</v>
      </c>
      <c r="J32" s="641" t="s">
        <v>385</v>
      </c>
      <c r="K32" s="653" t="s">
        <v>386</v>
      </c>
      <c r="L32" s="656" t="s">
        <v>382</v>
      </c>
      <c r="M32" s="641" t="s">
        <v>383</v>
      </c>
      <c r="N32" s="641" t="s">
        <v>384</v>
      </c>
      <c r="O32" s="641" t="s">
        <v>385</v>
      </c>
      <c r="P32" s="653" t="s">
        <v>386</v>
      </c>
      <c r="Q32" s="656" t="s">
        <v>382</v>
      </c>
      <c r="R32" s="641" t="s">
        <v>383</v>
      </c>
      <c r="S32" s="641" t="s">
        <v>384</v>
      </c>
      <c r="T32" s="641" t="s">
        <v>385</v>
      </c>
      <c r="U32" s="653" t="s">
        <v>386</v>
      </c>
      <c r="V32" s="656" t="s">
        <v>382</v>
      </c>
      <c r="W32" s="641" t="s">
        <v>383</v>
      </c>
      <c r="X32" s="641" t="s">
        <v>384</v>
      </c>
      <c r="Y32" s="641" t="s">
        <v>385</v>
      </c>
      <c r="Z32" s="653" t="s">
        <v>386</v>
      </c>
    </row>
    <row r="33" spans="1:26" ht="35.1" customHeight="1">
      <c r="A33" s="245" t="s">
        <v>544</v>
      </c>
      <c r="B33" s="662" t="str">
        <f>B43</f>
        <v>N/A</v>
      </c>
      <c r="C33" s="671">
        <f>B44</f>
        <v>8.0000000000000002E-3</v>
      </c>
      <c r="D33" s="671" t="e">
        <f>B46+B47+B48</f>
        <v>#N/A</v>
      </c>
      <c r="E33" s="671">
        <f>B50+B51+B52</f>
        <v>0</v>
      </c>
      <c r="F33" s="673" t="e">
        <f>B61+B62+B64+B65+B66+B68</f>
        <v>#N/A</v>
      </c>
      <c r="G33" s="662" t="str">
        <f>G43</f>
        <v>N/A</v>
      </c>
      <c r="H33" s="671">
        <f>G44</f>
        <v>8.0000000000000002E-3</v>
      </c>
      <c r="I33" s="671" t="e">
        <f>G46+G47+G48</f>
        <v>#N/A</v>
      </c>
      <c r="J33" s="671">
        <f>G50+G51+G52</f>
        <v>0</v>
      </c>
      <c r="K33" s="671" t="e">
        <f>G61+G62+G64+G65+G66+G68</f>
        <v>#N/A</v>
      </c>
      <c r="L33" s="662" t="str">
        <f>L43</f>
        <v/>
      </c>
      <c r="M33" s="671">
        <f>L44</f>
        <v>8.0000000000000002E-3</v>
      </c>
      <c r="N33" s="671" t="e">
        <f>L46+L47+L48</f>
        <v>#VALUE!</v>
      </c>
      <c r="O33" s="671">
        <f>L50+L51+L52</f>
        <v>0</v>
      </c>
      <c r="P33" s="673" t="e">
        <f>L61+L62+L64+L65+L66+L68</f>
        <v>#VALUE!</v>
      </c>
      <c r="Q33" s="662" t="str">
        <f>Q43</f>
        <v/>
      </c>
      <c r="R33" s="671">
        <f>Q44</f>
        <v>8.0000000000000002E-3</v>
      </c>
      <c r="S33" s="671" t="e">
        <f>Q46+Q47+Q48</f>
        <v>#VALUE!</v>
      </c>
      <c r="T33" s="671">
        <f>Q50+Q51+Q52</f>
        <v>0</v>
      </c>
      <c r="U33" s="673" t="e">
        <f>Q61+Q62+Q64+Q65+Q66+Q68</f>
        <v>#N/A</v>
      </c>
      <c r="V33" s="1138" t="s">
        <v>371</v>
      </c>
      <c r="W33" s="1139"/>
      <c r="X33" s="1139"/>
      <c r="Y33" s="1139"/>
      <c r="Z33" s="1140"/>
    </row>
    <row r="34" spans="1:26" ht="35.1" customHeight="1">
      <c r="A34" s="245" t="s">
        <v>822</v>
      </c>
      <c r="B34" s="662" t="str">
        <f>D43</f>
        <v>N/A</v>
      </c>
      <c r="C34" s="671">
        <f>D44</f>
        <v>8.0000000000000004E-4</v>
      </c>
      <c r="D34" s="671" t="e">
        <f>D46+D47+D48</f>
        <v>#VALUE!</v>
      </c>
      <c r="E34" s="671">
        <f>D50+D51+D52</f>
        <v>0</v>
      </c>
      <c r="F34" s="673" t="e">
        <f>F33/d_BwChild</f>
        <v>#N/A</v>
      </c>
      <c r="G34" s="662" t="str">
        <f>I43</f>
        <v>N/A</v>
      </c>
      <c r="H34" s="671">
        <f>I44</f>
        <v>8.0000000000000004E-4</v>
      </c>
      <c r="I34" s="671" t="e">
        <f>I46+I47+I48</f>
        <v>#VALUE!</v>
      </c>
      <c r="J34" s="671">
        <f>I50+I51+I52</f>
        <v>0</v>
      </c>
      <c r="K34" s="671" t="e">
        <f>K33/d_BwChild</f>
        <v>#N/A</v>
      </c>
      <c r="L34" s="662" t="str">
        <f>N43</f>
        <v/>
      </c>
      <c r="M34" s="671">
        <f>N44</f>
        <v>8.0000000000000004E-4</v>
      </c>
      <c r="N34" s="671" t="e">
        <f>N46+N47+N48</f>
        <v>#VALUE!</v>
      </c>
      <c r="O34" s="671">
        <f>N50+N51+N52</f>
        <v>0</v>
      </c>
      <c r="P34" s="673" t="e">
        <f>P33/d_BwChild</f>
        <v>#VALUE!</v>
      </c>
      <c r="Q34" s="662" t="str">
        <f>S43</f>
        <v/>
      </c>
      <c r="R34" s="671">
        <f>S44</f>
        <v>8.0000000000000004E-4</v>
      </c>
      <c r="S34" s="671" t="e">
        <f>S46+S47+S48</f>
        <v>#VALUE!</v>
      </c>
      <c r="T34" s="671">
        <f>S50+S51+S52</f>
        <v>0</v>
      </c>
      <c r="U34" s="673" t="e">
        <f>U33/d_BwChild</f>
        <v>#N/A</v>
      </c>
      <c r="V34" s="1141"/>
      <c r="W34" s="1142"/>
      <c r="X34" s="1142"/>
      <c r="Y34" s="1142"/>
      <c r="Z34" s="1143"/>
    </row>
    <row r="35" spans="1:26" ht="35.1" customHeight="1" thickBot="1">
      <c r="A35" s="252" t="s">
        <v>442</v>
      </c>
      <c r="B35" s="373">
        <f>IFERROR(B34/i_AOEL1,0)</f>
        <v>0</v>
      </c>
      <c r="C35" s="377">
        <f>IFERROR(C34/i_AOEL1,0)</f>
        <v>0</v>
      </c>
      <c r="D35" s="377">
        <f>IFERROR(D34/i_AOEL1,0)</f>
        <v>0</v>
      </c>
      <c r="E35" s="377">
        <f>IFERROR(E34/i_AOEL1,0)</f>
        <v>0</v>
      </c>
      <c r="F35" s="374">
        <f>IFERROR(F34/i_AOEL1,0)</f>
        <v>0</v>
      </c>
      <c r="G35" s="373">
        <f>IFERROR(G34/i_AOEL2,0)</f>
        <v>0</v>
      </c>
      <c r="H35" s="377">
        <f>IFERROR(H34/i_AOEL2,0)</f>
        <v>0</v>
      </c>
      <c r="I35" s="377">
        <f>IFERROR(I34/i_AOEL2,0)</f>
        <v>0</v>
      </c>
      <c r="J35" s="377">
        <f>IFERROR(J34/i_AOEL2,0)</f>
        <v>0</v>
      </c>
      <c r="K35" s="374">
        <f>IFERROR(K34/i_AOEL2,0)</f>
        <v>0</v>
      </c>
      <c r="L35" s="373">
        <f>IFERROR(L34/i_AOEL3,0)</f>
        <v>0</v>
      </c>
      <c r="M35" s="377">
        <f>IFERROR(M34/i_AOEL3,0)</f>
        <v>0</v>
      </c>
      <c r="N35" s="377">
        <f>IFERROR(N34/i_AOEL3,0)</f>
        <v>0</v>
      </c>
      <c r="O35" s="377">
        <f>IFERROR(O34/i_AOEL3,0)</f>
        <v>0</v>
      </c>
      <c r="P35" s="374">
        <f>IFERROR(P34/i_AOEL3,0)</f>
        <v>0</v>
      </c>
      <c r="Q35" s="373">
        <f>IFERROR(Q34/i_AOEL4,0)</f>
        <v>0</v>
      </c>
      <c r="R35" s="377">
        <f>IFERROR(R34/i_AOEL4,0)</f>
        <v>0</v>
      </c>
      <c r="S35" s="377">
        <f>IFERROR(S34/i_AOEL4,0)</f>
        <v>0</v>
      </c>
      <c r="T35" s="377">
        <f>IFERROR(T34/i_AOEL4,0)</f>
        <v>0</v>
      </c>
      <c r="U35" s="374">
        <f>IFERROR(U34/i_AOEL4,0)</f>
        <v>0</v>
      </c>
      <c r="V35" s="373" t="str">
        <f>IF(COUNTA('Data entry'!D26:G26)&lt;2,"N/A",FIXED(prozAOEL_ResSpDrCh+G35+L35+Q35,3))</f>
        <v>N/A</v>
      </c>
      <c r="W35" s="377" t="str">
        <f>IF(COUNTA('Data entry'!D26:G26)&lt;2,"N/A",FIXED(prozAOEL_ResVapCh+H35+M35+R35,3))</f>
        <v>N/A</v>
      </c>
      <c r="X35" s="377" t="str">
        <f>IF(COUNTA('Data entry'!D26:G26)&lt;2,"N/A",FIXED(prozAOEL_ResSDCh+I35+N35+S35,3))</f>
        <v>N/A</v>
      </c>
      <c r="Y35" s="377" t="str">
        <f>IF(COUNTA('Data entry'!D26:G26)&lt;2,"N/A",FIXED(prozAOEL_ResEntryCh+J35+O35+T35,3))</f>
        <v>N/A</v>
      </c>
      <c r="Z35" s="374" t="str">
        <f>IF(COUNTA('Data entry'!D26:G26)&lt;2,"N/A",FIXED(prozAOEL_ResMeanCh+K35+P35+U35,3))</f>
        <v>N/A</v>
      </c>
    </row>
    <row r="36" spans="1:26" ht="35.1" customHeight="1">
      <c r="A36" s="248" t="s">
        <v>823</v>
      </c>
      <c r="B36" s="715" t="s">
        <v>382</v>
      </c>
      <c r="C36" s="716" t="s">
        <v>383</v>
      </c>
      <c r="D36" s="716" t="s">
        <v>384</v>
      </c>
      <c r="E36" s="716" t="s">
        <v>385</v>
      </c>
      <c r="F36" s="717" t="s">
        <v>386</v>
      </c>
      <c r="G36" s="715" t="s">
        <v>382</v>
      </c>
      <c r="H36" s="716" t="s">
        <v>383</v>
      </c>
      <c r="I36" s="716" t="s">
        <v>384</v>
      </c>
      <c r="J36" s="716" t="s">
        <v>385</v>
      </c>
      <c r="K36" s="717" t="s">
        <v>386</v>
      </c>
      <c r="L36" s="715" t="s">
        <v>382</v>
      </c>
      <c r="M36" s="716" t="s">
        <v>383</v>
      </c>
      <c r="N36" s="716" t="s">
        <v>384</v>
      </c>
      <c r="O36" s="716" t="s">
        <v>385</v>
      </c>
      <c r="P36" s="717" t="s">
        <v>386</v>
      </c>
      <c r="Q36" s="715" t="s">
        <v>382</v>
      </c>
      <c r="R36" s="716" t="s">
        <v>383</v>
      </c>
      <c r="S36" s="716" t="s">
        <v>384</v>
      </c>
      <c r="T36" s="716" t="s">
        <v>385</v>
      </c>
      <c r="U36" s="717" t="s">
        <v>386</v>
      </c>
      <c r="V36" s="715" t="s">
        <v>382</v>
      </c>
      <c r="W36" s="716" t="s">
        <v>383</v>
      </c>
      <c r="X36" s="716" t="s">
        <v>384</v>
      </c>
      <c r="Y36" s="716" t="s">
        <v>385</v>
      </c>
      <c r="Z36" s="717" t="s">
        <v>386</v>
      </c>
    </row>
    <row r="37" spans="1:26" ht="35.1" customHeight="1">
      <c r="A37" s="245" t="s">
        <v>544</v>
      </c>
      <c r="B37" s="662">
        <f>B54</f>
        <v>0</v>
      </c>
      <c r="C37" s="671">
        <f>B55</f>
        <v>1.6199999999999999E-2</v>
      </c>
      <c r="D37" s="671" t="e">
        <f>B56</f>
        <v>#N/A</v>
      </c>
      <c r="E37" s="671">
        <f>B57</f>
        <v>0</v>
      </c>
      <c r="F37" s="673" t="e">
        <f>B72+B73+B74+B75</f>
        <v>#N/A</v>
      </c>
      <c r="G37" s="662">
        <f>G54</f>
        <v>0</v>
      </c>
      <c r="H37" s="671">
        <f>G55</f>
        <v>1.6199999999999999E-2</v>
      </c>
      <c r="I37" s="671" t="e">
        <f>G56</f>
        <v>#N/A</v>
      </c>
      <c r="J37" s="671">
        <f>G57</f>
        <v>0</v>
      </c>
      <c r="K37" s="671" t="e">
        <f>G72+G73+G74+G75</f>
        <v>#N/A</v>
      </c>
      <c r="L37" s="662">
        <f>L54</f>
        <v>0</v>
      </c>
      <c r="M37" s="671">
        <f>L55</f>
        <v>1.6199999999999999E-2</v>
      </c>
      <c r="N37" s="671" t="str">
        <f>L56</f>
        <v/>
      </c>
      <c r="O37" s="671" t="str">
        <f>L57</f>
        <v/>
      </c>
      <c r="P37" s="673" t="e">
        <f>L72+L73+L74+L75</f>
        <v>#VALUE!</v>
      </c>
      <c r="Q37" s="662">
        <f>Q54</f>
        <v>0</v>
      </c>
      <c r="R37" s="671">
        <f>Q55</f>
        <v>1.6199999999999999E-2</v>
      </c>
      <c r="S37" s="671" t="str">
        <f>Q56</f>
        <v/>
      </c>
      <c r="T37" s="671" t="str">
        <f>Q57</f>
        <v/>
      </c>
      <c r="U37" s="673" t="e">
        <f>Q72+Q73+Q74+Q75</f>
        <v>#N/A</v>
      </c>
      <c r="V37" s="1138" t="s">
        <v>371</v>
      </c>
      <c r="W37" s="1139"/>
      <c r="X37" s="1139"/>
      <c r="Y37" s="1139"/>
      <c r="Z37" s="1140"/>
    </row>
    <row r="38" spans="1:26" ht="35.1" customHeight="1">
      <c r="A38" s="245" t="s">
        <v>822</v>
      </c>
      <c r="B38" s="662">
        <f>D54</f>
        <v>0</v>
      </c>
      <c r="C38" s="671">
        <f>D55</f>
        <v>2.7E-4</v>
      </c>
      <c r="D38" s="671" t="str">
        <f>D56</f>
        <v/>
      </c>
      <c r="E38" s="671">
        <f>D57</f>
        <v>0</v>
      </c>
      <c r="F38" s="673" t="e">
        <f>D72+D73+D74+D75</f>
        <v>#VALUE!</v>
      </c>
      <c r="G38" s="662">
        <f>I54</f>
        <v>0</v>
      </c>
      <c r="H38" s="671">
        <f>I55</f>
        <v>2.7E-4</v>
      </c>
      <c r="I38" s="671" t="str">
        <f>I56</f>
        <v/>
      </c>
      <c r="J38" s="671">
        <f>I57</f>
        <v>0</v>
      </c>
      <c r="K38" s="671" t="e">
        <f>I72+I73+I74+I75</f>
        <v>#VALUE!</v>
      </c>
      <c r="L38" s="662">
        <f>N54</f>
        <v>0</v>
      </c>
      <c r="M38" s="671">
        <f>N55</f>
        <v>2.7E-4</v>
      </c>
      <c r="N38" s="671" t="str">
        <f>N56</f>
        <v/>
      </c>
      <c r="O38" s="671" t="str">
        <f>N57</f>
        <v/>
      </c>
      <c r="P38" s="673" t="e">
        <f>N72+N73+N74+N75</f>
        <v>#VALUE!</v>
      </c>
      <c r="Q38" s="662">
        <f>S54</f>
        <v>0</v>
      </c>
      <c r="R38" s="671">
        <f>S55</f>
        <v>2.7E-4</v>
      </c>
      <c r="S38" s="671" t="str">
        <f>S56</f>
        <v/>
      </c>
      <c r="T38" s="671" t="str">
        <f>S57</f>
        <v/>
      </c>
      <c r="U38" s="673" t="e">
        <f>S72+S73+S74+S75</f>
        <v>#VALUE!</v>
      </c>
      <c r="V38" s="1141"/>
      <c r="W38" s="1142"/>
      <c r="X38" s="1142"/>
      <c r="Y38" s="1142"/>
      <c r="Z38" s="1143"/>
    </row>
    <row r="39" spans="1:26" ht="35.1" customHeight="1" thickBot="1">
      <c r="A39" s="252" t="s">
        <v>442</v>
      </c>
      <c r="B39" s="373">
        <f>IFERROR(B38/i_AOEL1,0)</f>
        <v>0</v>
      </c>
      <c r="C39" s="377">
        <f>IFERROR(C38/i_AOEL1,0)</f>
        <v>0</v>
      </c>
      <c r="D39" s="377">
        <f>IFERROR(D38/i_AOEL1,0)</f>
        <v>0</v>
      </c>
      <c r="E39" s="723">
        <f>IFERROR(E38/i_AOEL1,0)</f>
        <v>0</v>
      </c>
      <c r="F39" s="374">
        <f>IFERROR(F38/i_AOEL1,0)</f>
        <v>0</v>
      </c>
      <c r="G39" s="373">
        <f>IFERROR(G38/i_AOEL2,0)</f>
        <v>0</v>
      </c>
      <c r="H39" s="377">
        <f>IFERROR(H38/i_AOEL2,0)</f>
        <v>0</v>
      </c>
      <c r="I39" s="377">
        <f>IFERROR(I38/i_AOEL2,0)</f>
        <v>0</v>
      </c>
      <c r="J39" s="723">
        <f>IFERROR(J38/i_AOEL2,0)</f>
        <v>0</v>
      </c>
      <c r="K39" s="374">
        <f>IFERROR(K38/i_AOEL2,0)</f>
        <v>0</v>
      </c>
      <c r="L39" s="373">
        <f>IFERROR(L38/i_AOEL3,0)</f>
        <v>0</v>
      </c>
      <c r="M39" s="377">
        <f>IFERROR(M38/i_AOEL3,0)</f>
        <v>0</v>
      </c>
      <c r="N39" s="377">
        <f>IFERROR(N38/i_AOEL3,0)</f>
        <v>0</v>
      </c>
      <c r="O39" s="377">
        <f>IFERROR(O38/i_AOEL3,0)</f>
        <v>0</v>
      </c>
      <c r="P39" s="374">
        <f>IFERROR(P38/i_AOEL3,0)</f>
        <v>0</v>
      </c>
      <c r="Q39" s="373">
        <f>IFERROR(Q38/i_AOEL4,0)</f>
        <v>0</v>
      </c>
      <c r="R39" s="377">
        <f>IFERROR(R38/i_AOEL4,0)</f>
        <v>0</v>
      </c>
      <c r="S39" s="377">
        <f>IFERROR(S38/i_AOEL4,0)</f>
        <v>0</v>
      </c>
      <c r="T39" s="377">
        <f>IFERROR(T38/i_AOEL4,0)</f>
        <v>0</v>
      </c>
      <c r="U39" s="374">
        <f>IFERROR(U38/i_AOEL4,0)</f>
        <v>0</v>
      </c>
      <c r="V39" s="373" t="str">
        <f>IF(COUNTA('Data entry'!D26:G26)&lt;2,"N/A",FIXED(B39+G39+L39+Q39,3))</f>
        <v>N/A</v>
      </c>
      <c r="W39" s="377" t="str">
        <f>IF(COUNTA('Data entry'!D26:G26)&lt;2,"N/A",FIXED(C39+H39+M39+R39,3))</f>
        <v>N/A</v>
      </c>
      <c r="X39" s="377" t="str">
        <f>IF(COUNTA('Data entry'!D26:G26)&lt;2,"N/A",FIXED(D39+I39+N39+S39,3))</f>
        <v>N/A</v>
      </c>
      <c r="Y39" s="377" t="str">
        <f>IF(COUNTA('Data entry'!D26:G26)&lt;2,"N/A",FIXED(E39+J39+O39+T39,3))</f>
        <v>N/A</v>
      </c>
      <c r="Z39" s="374" t="str">
        <f>IF(COUNTA('Data entry'!D26:G26)&lt;2,"N/A",FIXED(F39+K39+P39+U39,3))</f>
        <v>N/A</v>
      </c>
    </row>
    <row r="40" spans="1:26" ht="35.1" customHeight="1" thickBot="1">
      <c r="B40" s="69"/>
      <c r="C40" s="77"/>
      <c r="D40" s="77"/>
      <c r="E40" s="77"/>
      <c r="F40" s="77"/>
      <c r="G40" s="116"/>
    </row>
    <row r="41" spans="1:26" ht="35.1" customHeight="1" thickBot="1">
      <c r="A41" s="112" t="s">
        <v>824</v>
      </c>
      <c r="B41" s="1080">
        <f>i_SubstName1</f>
        <v>0</v>
      </c>
      <c r="C41" s="1081"/>
      <c r="D41" s="1081"/>
      <c r="E41" s="1082"/>
      <c r="G41" s="1080">
        <f>i_SubstName2</f>
        <v>0</v>
      </c>
      <c r="H41" s="1081"/>
      <c r="I41" s="1081"/>
      <c r="J41" s="1082"/>
      <c r="L41" s="1080">
        <f>i_SubstName3</f>
        <v>0</v>
      </c>
      <c r="M41" s="1081"/>
      <c r="N41" s="1081"/>
      <c r="O41" s="1082"/>
      <c r="Q41" s="1080">
        <f>i_SubstName4</f>
        <v>0</v>
      </c>
      <c r="R41" s="1081"/>
      <c r="S41" s="1081"/>
      <c r="T41" s="1082"/>
    </row>
    <row r="42" spans="1:26">
      <c r="A42" s="46" t="s">
        <v>821</v>
      </c>
      <c r="B42" s="1069" t="s">
        <v>825</v>
      </c>
      <c r="C42" s="1070"/>
      <c r="D42" s="840" t="s">
        <v>448</v>
      </c>
      <c r="E42" s="1088"/>
      <c r="F42" s="251"/>
      <c r="G42" s="1069" t="s">
        <v>825</v>
      </c>
      <c r="H42" s="1070"/>
      <c r="I42" s="840" t="s">
        <v>448</v>
      </c>
      <c r="J42" s="1088"/>
      <c r="K42" s="251"/>
      <c r="L42" s="1069" t="s">
        <v>825</v>
      </c>
      <c r="M42" s="1070"/>
      <c r="N42" s="840" t="s">
        <v>448</v>
      </c>
      <c r="O42" s="1088"/>
      <c r="P42" s="251"/>
      <c r="Q42" s="1069" t="s">
        <v>825</v>
      </c>
      <c r="R42" s="1070"/>
      <c r="S42" s="840" t="s">
        <v>448</v>
      </c>
      <c r="T42" s="1088"/>
      <c r="U42" s="334"/>
      <c r="V42" s="1095" t="s">
        <v>543</v>
      </c>
      <c r="W42" s="1096"/>
      <c r="X42" s="1097"/>
    </row>
    <row r="43" spans="1:26" ht="48.75" customHeight="1">
      <c r="A43" s="643" t="s">
        <v>826</v>
      </c>
      <c r="B43" s="1055" t="str">
        <f>IFERROR(IF(i_FormVal="Granules, fine granules",0,((ResDermSD75Ch*i_AbsorpInuse1*(1-d_ClothAF))+ResInhalSD75Ch)*d_ConcAs1*(1-Driftreduction)),"N/A")</f>
        <v>N/A</v>
      </c>
      <c r="C43" s="1056"/>
      <c r="D43" s="1049" t="str">
        <f>IF(ISNUMBER(B43),B43/d_BwChild, "N/A")</f>
        <v>N/A</v>
      </c>
      <c r="E43" s="1050"/>
      <c r="F43" s="251"/>
      <c r="G43" s="1055" t="str">
        <f>IFERROR(IF(i_FormVal="Granules, fine granules",0,((ResDermSD75Ch*i_AbsorpInuse2*(1-d_ClothAF))+ResInhalSD75Ch)*d_ConcAs2*(1-Driftreduction)),"N/A")</f>
        <v>N/A</v>
      </c>
      <c r="H43" s="1056"/>
      <c r="I43" s="1049" t="str">
        <f>IF(ISNUMBER(G43),G43/d_BwChild, "N/A")</f>
        <v>N/A</v>
      </c>
      <c r="J43" s="1050"/>
      <c r="K43" s="251"/>
      <c r="L43" s="1055" t="str">
        <f>IF(L41&lt;&gt;0,IFERROR(IF(i_FormVal="Granules, fine granules",0,((ResDermSD75Ch*i_AbsorpInuse3*(1-d_ClothAF))+ResInhalSD75Ch)*d_ConcAs3*(1-Driftreduction)),"N/A"),"")</f>
        <v/>
      </c>
      <c r="M43" s="1056"/>
      <c r="N43" s="1049" t="str">
        <f>IF(ISNUMBER(L43),L43/d_BwChild, "")</f>
        <v/>
      </c>
      <c r="O43" s="1050"/>
      <c r="P43" s="251"/>
      <c r="Q43" s="1055" t="str">
        <f>IF(Q41&lt;&gt;0,IFERROR(IF(i_FormVal="Granules, fine granules",0,((ResDermSD75Ch*i_AbsorpInuse4*(1-d_ClothAF))+ResInhalSD75Ch)*d_ConcAs4*(1-Driftreduction)),"N/A"),"")</f>
        <v/>
      </c>
      <c r="R43" s="1056"/>
      <c r="S43" s="1049" t="str">
        <f>IF(ISNUMBER(Q43),Q43/d_BwChild, "")</f>
        <v/>
      </c>
      <c r="T43" s="1050"/>
      <c r="U43" s="334"/>
      <c r="V43" s="1051" t="str">
        <f>IF(i_FormVal="Granules, fine granules", "NA for application of granules",IF(i_AppMeth="Upward spraying","The only available values are for the 8 m distance downwind from the middle of the tree trunk, which are assumed to represent 5 m distance from the edge of orchard; the same value is used for 5 and 10 m. ",IF(Driftreduction = 0.5,"Since drift reducing nozzles are selected a 50% reduction factor has been applied","")))</f>
        <v/>
      </c>
      <c r="W43" s="1052"/>
      <c r="X43" s="1053"/>
    </row>
    <row r="44" spans="1:26">
      <c r="A44" s="643" t="s">
        <v>827</v>
      </c>
      <c r="B44" s="1055">
        <f>i_AbsorpInhalation1*d_AirCon1*d_BreathRCh*d_BwChild</f>
        <v>8.0000000000000002E-3</v>
      </c>
      <c r="C44" s="1056"/>
      <c r="D44" s="1104">
        <f>IF(ISNUMBER(B44),B44/d_BwChild, "")</f>
        <v>8.0000000000000004E-4</v>
      </c>
      <c r="E44" s="1105"/>
      <c r="F44" s="251"/>
      <c r="G44" s="1057">
        <f>i_AbsorpInhalation2*d_AirCon2*d_BreathRCh*d_BwChild</f>
        <v>8.0000000000000002E-3</v>
      </c>
      <c r="H44" s="1058"/>
      <c r="I44" s="1049">
        <f>IF(ISNUMBER(G44),G44/d_BwChild, "")</f>
        <v>8.0000000000000004E-4</v>
      </c>
      <c r="J44" s="1050"/>
      <c r="K44" s="251"/>
      <c r="L44" s="1057">
        <f>i_AbsorpInhalation3*d_AirCon3*d_BreathRCh*d_BwChild</f>
        <v>8.0000000000000002E-3</v>
      </c>
      <c r="M44" s="1058"/>
      <c r="N44" s="1049">
        <f>IF(ISNUMBER(L44),L44/d_BwChild, "")</f>
        <v>8.0000000000000004E-4</v>
      </c>
      <c r="O44" s="1050"/>
      <c r="P44" s="251"/>
      <c r="Q44" s="1057">
        <f>i_AbsorpInhalation4*d_AirCon4*d_BreathRCh*d_BwChild</f>
        <v>8.0000000000000002E-3</v>
      </c>
      <c r="R44" s="1058"/>
      <c r="S44" s="1049">
        <f>IF(ISNUMBER(Q44),Q44/d_BwChild, "")</f>
        <v>8.0000000000000004E-4</v>
      </c>
      <c r="T44" s="1050"/>
      <c r="U44" s="334"/>
      <c r="V44" s="1051"/>
      <c r="W44" s="1052"/>
      <c r="X44" s="1053"/>
    </row>
    <row r="45" spans="1:26">
      <c r="A45" s="344" t="s">
        <v>828</v>
      </c>
      <c r="B45" s="1111"/>
      <c r="C45" s="1112"/>
      <c r="D45" s="1071"/>
      <c r="E45" s="1072"/>
      <c r="F45" s="325"/>
      <c r="G45" s="1078"/>
      <c r="H45" s="1079"/>
      <c r="I45" s="1071"/>
      <c r="J45" s="1072"/>
      <c r="K45" s="325"/>
      <c r="L45" s="1078"/>
      <c r="M45" s="1079"/>
      <c r="N45" s="1071"/>
      <c r="O45" s="1072"/>
      <c r="P45" s="325"/>
      <c r="Q45" s="1078"/>
      <c r="R45" s="1079"/>
      <c r="S45" s="1071"/>
      <c r="T45" s="1072"/>
      <c r="U45" s="345"/>
      <c r="V45" s="1046" t="str">
        <f>IF(W26="na","NA since upward spraying applications are not expected for this crop type",IF(Driftreduction = 0.5,"Since drift reducing nozzles are selected a 50% reduction factor has been applied",""))</f>
        <v/>
      </c>
      <c r="W45" s="1047"/>
      <c r="X45" s="1048"/>
    </row>
    <row r="46" spans="1:26" ht="15" customHeight="1">
      <c r="A46" s="346" t="s">
        <v>829</v>
      </c>
      <c r="B46" s="1073" t="e">
        <f>IF( i_AppMeth="In furrow application of granules", "",(d_TTR1/1000)*DrOnSurface75*d_ReTCCh*d_ReExpDur*MAX(i_AbsorpProduct1,i_AbsorpInuse1)*d_MAF1*(1-Driftreduction))</f>
        <v>#N/A</v>
      </c>
      <c r="C46" s="1074"/>
      <c r="D46" s="1076" t="str">
        <f>IF(ISNUMBER(B46),B46/d_BwChild, "")</f>
        <v/>
      </c>
      <c r="E46" s="1077"/>
      <c r="F46" s="88"/>
      <c r="G46" s="1073" t="e">
        <f>IF( i_AppMeth="In furrow application of granules", "",(d_TTR2/1000)*DrOnSurface75*d_ReTCCh*d_ReExpDur*MAX(i_AbsorpProduct2,i_AbsorpInuse2)*d_MAF2*(1-Driftreduction))</f>
        <v>#N/A</v>
      </c>
      <c r="H46" s="1074"/>
      <c r="I46" s="1086" t="str">
        <f>IF(ISNUMBER(G46),G46/d_BwChild, "")</f>
        <v/>
      </c>
      <c r="J46" s="1087"/>
      <c r="K46" s="88"/>
      <c r="L46" s="1073" t="str">
        <f>IF(L41&lt;&gt;0,IF( i_AppMeth="In furrow application of granules", "",(d_TTR3/1000)*DrOnSurface75*d_ReTCCh*d_ReExpDur*MAX(i_AbsorpProduct3,i_AbsorpInuse3)*d_MAF3*(1-Driftreduction)),"")</f>
        <v/>
      </c>
      <c r="M46" s="1074"/>
      <c r="N46" s="1086" t="str">
        <f>IF(ISNUMBER(L46),L46/d_BwChild, "")</f>
        <v/>
      </c>
      <c r="O46" s="1087"/>
      <c r="P46" s="88"/>
      <c r="Q46" s="1073" t="str">
        <f>IF(Q41&lt;&gt;0,IF( i_AppMeth="In furrow application of granules", "",(d_TTR4/1000)*DrOnSurface75*d_ReTCCh*d_ReExpDur*MAX(i_AbsorpProduct4,i_AbsorpInuse4)*d_MAF4*(1-Driftreduction)),"")</f>
        <v/>
      </c>
      <c r="R46" s="1074"/>
      <c r="S46" s="1086" t="str">
        <f>IF(ISNUMBER(Q46),Q46/d_BwChild, "")</f>
        <v/>
      </c>
      <c r="T46" s="1087"/>
      <c r="U46" s="99"/>
      <c r="V46" s="1129"/>
      <c r="W46" s="1130"/>
      <c r="X46" s="1131"/>
    </row>
    <row r="47" spans="1:26">
      <c r="A47" s="346" t="s">
        <v>830</v>
      </c>
      <c r="B47" s="1073" t="e">
        <f>IF(i_AppMeth="In furrow application of granules","",(d_TTR1/1000)*DrOnSurface75*d_SalExt*d_AreaHM*d_ReFreqHM*d_ReExpDur*i_AbsorpOralInuse1*d_MAF1*(1-Driftreduction))</f>
        <v>#N/A</v>
      </c>
      <c r="C47" s="1074"/>
      <c r="D47" s="1076" t="str">
        <f>IF(ISNUMBER(B47),B47/d_BwChild, "")</f>
        <v/>
      </c>
      <c r="E47" s="1077"/>
      <c r="F47" s="88"/>
      <c r="G47" s="1073" t="e">
        <f>IF(i_AppMeth="In furrow application of granules","",(i_AppRateAS2/100)*DrOnSurface75*d_Turf*d_SalExt*d_AreaHM*d_ReFreqHM*d_ReExpDur*i_AbsorpOralInuse2*d_MAF2*(1-Driftreduction))</f>
        <v>#N/A</v>
      </c>
      <c r="H47" s="1074"/>
      <c r="I47" s="1076" t="str">
        <f>IF(ISNUMBER(G47),G47/d_BwChild, "")</f>
        <v/>
      </c>
      <c r="J47" s="1077"/>
      <c r="K47" s="88"/>
      <c r="L47" s="1073" t="str">
        <f>IF(L41&lt;&gt;0,IF(i_AppMeth="In furrow application of granules","",(i_AppRateAS3/100)*DrOnSurface75*d_Turf*d_SalExt*d_AreaHM*d_ReFreqHM*d_ReExpDur*i_AbsorpOralInuse3*d_MAF3*(1-Driftreduction)),"")</f>
        <v/>
      </c>
      <c r="M47" s="1074"/>
      <c r="N47" s="1076" t="str">
        <f>IF(ISNUMBER(L47),L47/d_BwChild, "")</f>
        <v/>
      </c>
      <c r="O47" s="1077"/>
      <c r="P47" s="88"/>
      <c r="Q47" s="1093" t="str">
        <f>IF(Q41&lt;&gt;0,IF(i_AppMeth="In furrow application of granules","",(i_AppRateAS4/100)*DrOnSurface75*d_Turf*d_SalExt*d_AreaHM*d_ReFreqHM*d_ReExpDur*i_AbsorpOralInuse4*d_MAF4*(1-Driftreduction)),"")</f>
        <v/>
      </c>
      <c r="R47" s="1094"/>
      <c r="S47" s="1086" t="str">
        <f>IF(ISNUMBER(Q47),Q47/d_BwChild, "")</f>
        <v/>
      </c>
      <c r="T47" s="1087"/>
      <c r="U47" s="99"/>
      <c r="V47" s="1129"/>
      <c r="W47" s="1130"/>
      <c r="X47" s="1131"/>
    </row>
    <row r="48" spans="1:26">
      <c r="A48" s="347" t="s">
        <v>831</v>
      </c>
      <c r="B48" s="1073" t="e">
        <f>IF(i_AppMeth="In furrow application of granules","",(i_AppRateAS1/100)*DrOnSurface75*d_DRP*d_MouthGrass*i_AbsorpOralInuse1*d_MAF1*(1-Driftreduction))</f>
        <v>#N/A</v>
      </c>
      <c r="C48" s="1074"/>
      <c r="D48" s="1076" t="str">
        <f>IF(ISNUMBER(B48),B48/d_BwChild, "")</f>
        <v/>
      </c>
      <c r="E48" s="1077"/>
      <c r="F48" s="326"/>
      <c r="G48" s="1073" t="e">
        <f>IF(i_AppMeth="In furrow application of granules","",(i_AppRateAS2/100)*DrOnSurface75*d_DRP*d_MouthGrass*i_AbsorpOralInuse2*d_MAF2*(1-Driftreduction))</f>
        <v>#N/A</v>
      </c>
      <c r="H48" s="1074"/>
      <c r="I48" s="1076" t="str">
        <f>IF(ISNUMBER(G48),G48/d_BwChild, "")</f>
        <v/>
      </c>
      <c r="J48" s="1077"/>
      <c r="K48" s="326"/>
      <c r="L48" s="1073" t="str">
        <f>IF(L41&lt;&gt;0,IF(i_AppMeth="In furrow application of granules","",(i_AppRateAS3/100)*DrOnSurface75*d_DRP*d_MouthGrass*i_AbsorpOralInuse3*d_MAF3*(1-Driftreduction)),"")</f>
        <v/>
      </c>
      <c r="M48" s="1074"/>
      <c r="N48" s="1076" t="str">
        <f>IF(ISNUMBER(L48),L48/d_BwChild, "")</f>
        <v/>
      </c>
      <c r="O48" s="1077"/>
      <c r="P48" s="326"/>
      <c r="Q48" s="1073" t="str">
        <f>IF(Q41&lt;&gt;0,IF(i_AppMeth="In furrow application of granules","",(i_AppRateAS4/100)*DrOnSurface75*d_DRP*d_MouthGrass*i_AbsorpOralInuse4*d_MAF4*(1-Driftreduction)),"")</f>
        <v/>
      </c>
      <c r="R48" s="1074"/>
      <c r="S48" s="1076" t="str">
        <f>IF(ISNUMBER(Q48),Q48/d_BwChild, "")</f>
        <v/>
      </c>
      <c r="T48" s="1077"/>
      <c r="U48" s="348"/>
      <c r="V48" s="1135"/>
      <c r="W48" s="1136"/>
      <c r="X48" s="1137"/>
    </row>
    <row r="49" spans="1:24">
      <c r="A49" s="344" t="s">
        <v>832</v>
      </c>
      <c r="B49" s="1111"/>
      <c r="C49" s="1112"/>
      <c r="D49" s="1071"/>
      <c r="E49" s="1072"/>
      <c r="F49" s="399"/>
      <c r="G49" s="1078"/>
      <c r="H49" s="1079"/>
      <c r="I49" s="1071"/>
      <c r="J49" s="1072"/>
      <c r="K49" s="325"/>
      <c r="L49" s="1078"/>
      <c r="M49" s="1079"/>
      <c r="N49" s="1071"/>
      <c r="O49" s="1072"/>
      <c r="P49" s="325"/>
      <c r="Q49" s="1078"/>
      <c r="R49" s="1079"/>
      <c r="S49" s="1071"/>
      <c r="T49" s="1072"/>
      <c r="U49" s="345"/>
      <c r="V49" s="1046" t="str">
        <f>IF(i_CropType="Amenity grassland","","Considered only for application on grassland and lawns and for application on golf course, turf or other sports lawns. ")</f>
        <v xml:space="preserve">Considered only for application on grassland and lawns and for application on golf course, turf or other sports lawns. </v>
      </c>
      <c r="W49" s="1047"/>
      <c r="X49" s="1048"/>
    </row>
    <row r="50" spans="1:24">
      <c r="A50" s="346" t="s">
        <v>829</v>
      </c>
      <c r="B50" s="1073" cm="1">
        <f t="array" ref="B50">IF(OR(i_FormVal="Granules, fine granules",OR(AND(i_IndoorOutdoor="Outdoor",$E$5="No"),AND(i_IndoorOutdoor&lt;&gt;"Outdoor",$E$4="No"))),0,  IF(i_CropType="Amenity grassland", (d_TTR1/1000)*d_MAF1*d_ReTCCh*d_ExpDurTreatCrop*MAX(i_AbsorpProduct1,i_AbsorpInuse1), IF(LEFT(i_CropType,4)="Bare",ConcSoil1*skinAdhSoil*d_HandSurface*i_AbsorpInuse1,(d_TcEntryCh*0.25*d_DFR1*d_MAF1)/1000*MAX(i_AbsorpProduct1,i_AbsorpInuse1))))</f>
        <v>0</v>
      </c>
      <c r="C50" s="1074"/>
      <c r="D50" s="1076">
        <f>IF(ISNUMBER(B50),B50/d_BwChild, "")</f>
        <v>0</v>
      </c>
      <c r="E50" s="1077"/>
      <c r="F50" s="88"/>
      <c r="G50" s="1073" cm="1">
        <f t="array" ref="G50">IF(G41&lt;&gt;0,IF(OR(i_FormVal="Granules, fine granules",OR(AND(i_IndoorOutdoor="Outdoor",$E$5="No"),AND(i_IndoorOutdoor&lt;&gt;"Outdoor",$E$4="No"))),0,  IF(i_CropType="Amenity grassland", (d_TTR2/1000)*d_MAF2*d_ReTCCh*d_ExpDurTreatCrop*MAX(i_AbsorpProduct2,i_AbsorpInuse2), IF(LEFT(i_CropType,4)="Bare",ConcSoil2*skinAdhSoil*d_HandSurface*i_AbsorpInuse2,(d_TcEntryCh*0.25*d_DFR2*d_MAF2)/1000*MAX(i_AbsorpProduct2,i_AbsorpInuse2)))),0)</f>
        <v>0</v>
      </c>
      <c r="H50" s="1074"/>
      <c r="I50" s="1115">
        <f>IF(ISNUMBER(G50),G50/d_BwChild, "")</f>
        <v>0</v>
      </c>
      <c r="J50" s="1116"/>
      <c r="K50" s="88"/>
      <c r="L50" s="1073" cm="1">
        <f t="array" ref="L50">IF(L41&lt;&gt;0,IF(OR(i_FormVal="Granules, fine granules",OR(AND(i_IndoorOutdoor="Outdoor",$E$5="No"),AND(i_IndoorOutdoor&lt;&gt;"Outdoor",$E$4="No"))),0, IF(i_CropType="Amenity grassland", (d_TTR3/1000)*d_MAF3*d_ReTCCh*d_ExpDurTreatCrop*MAX(i_AbsorpProduct3,i_AbsorpInuse3),IF(LEFT(i_CropType,4)="Bare",ConcSoil3*skinAdhSoil*d_HandSurface*i_AbsorpInuse3,(d_TcEntryCh*0.25*d_DFR3*d_MAF3)/1000*MAX(i_AbsorpProduct3,i_AbsorpInuse3)))),0)</f>
        <v>0</v>
      </c>
      <c r="M50" s="1074"/>
      <c r="N50" s="1086">
        <f>IF(ISNUMBER(L50),L50/d_BwChild, 0)</f>
        <v>0</v>
      </c>
      <c r="O50" s="1087"/>
      <c r="P50" s="88"/>
      <c r="Q50" s="1073" cm="1">
        <f t="array" ref="Q50">IF(Q41&lt;&gt;0,IF(OR(i_FormVal="Granules, fine granules",OR(AND(i_IndoorOutdoor="Outdoor",$E$5="No"),AND(i_IndoorOutdoor&lt;&gt;"Outdoor",$E$4="No"))),0, IF(i_CropType="Amenity grassland", (d_TTR4/1000)*d_MAF4*d_ReTCCh*d_ExpDurTreatCrop*MAX(i_AbsorpProduct4,i_AbsorpInuse4),IF(LEFT(i_CropType,4)="Bare",ConcSoil4*skinAdhSoil*d_HandSurface*i_AbsorpInuse4,(d_TcEntryCh*0.25*d_DFR4*d_MAF4)/1000*MAX(i_AbsorpProduct4,i_AbsorpInuse4)))),0)</f>
        <v>0</v>
      </c>
      <c r="R50" s="1074"/>
      <c r="S50" s="1076">
        <f>IF(ISNUMBER(Q50),Q50/d_BwChild, 0)</f>
        <v>0</v>
      </c>
      <c r="T50" s="1077"/>
      <c r="U50" s="99"/>
      <c r="V50" s="1129"/>
      <c r="W50" s="1130"/>
      <c r="X50" s="1131"/>
    </row>
    <row r="51" spans="1:24">
      <c r="A51" s="346" t="s">
        <v>830</v>
      </c>
      <c r="B51" s="1073" cm="1">
        <f t="array" ref="B51">IF(OR(i_FormVal="Granules, fine granules",OR(AND(i_IndoorOutdoor="Outdoor",$E$5="No"),AND(i_IndoorOutdoor&lt;&gt;"Outdoor",$E$4="No"))),0,  IF(i_CropType="Amenity grassland",(i_AppRateAS1/100)*d_MAF1*d_Turf*d_SalExt*d_AreaHM*d_ReFreqHM*d_ExpDurTreatCrop*i_AbsorpOralInuse1,0))</f>
        <v>0</v>
      </c>
      <c r="C51" s="1074"/>
      <c r="D51" s="1086">
        <f>IF(ISNUMBER(B51),B51/d_BwChild, 0)</f>
        <v>0</v>
      </c>
      <c r="E51" s="1087"/>
      <c r="F51" s="88"/>
      <c r="G51" s="1073" cm="1">
        <f t="array" ref="G51">IF(OR(i_FormVal="Granules, fine granules",OR(AND(i_IndoorOutdoor="Outdoor",$E$5="No"),AND(i_IndoorOutdoor&lt;&gt;"Outdoor",$E$4="No"))),0,IF(i_CropType="Amenity grassland",(i_AppRateAS2/100)*d_MAF2*d_Turf*d_SalExt*d_AreaHM*d_ReFreqHM*d_ExpDurTreatCrop*i_AbsorpOralInuse2,0))</f>
        <v>0</v>
      </c>
      <c r="H51" s="1074"/>
      <c r="I51" s="1086">
        <f>IF(ISNUMBER(G51),G51/d_BwChild, 0)</f>
        <v>0</v>
      </c>
      <c r="J51" s="1087"/>
      <c r="K51" s="88"/>
      <c r="L51" s="1073" cm="1">
        <f t="array" ref="L51">IF(OR(i_FormVal="Granules, fine granules",OR(AND(i_IndoorOutdoor="Outdoor",$E$5="No"),AND(i_IndoorOutdoor&lt;&gt;"Outdoor",$E$4="No"))),0,IF(L41&lt;&gt;0,IF(i_CropType="Amenity grassland",(i_AppRateAS3/100)*d_MAF3*d_Turf*d_SalExt*d_AreaHM*d_ReFreqHM*d_ExpDurTreatCrop*i_AbsorpOralInuse3, 0),0))</f>
        <v>0</v>
      </c>
      <c r="M51" s="1074"/>
      <c r="N51" s="1086">
        <f>IF(ISNUMBER(L51),L51/d_BwChild, 0)</f>
        <v>0</v>
      </c>
      <c r="O51" s="1087"/>
      <c r="P51" s="88"/>
      <c r="Q51" s="1073" cm="1">
        <f t="array" ref="Q51">IF(OR(i_FormVal="Granules, fine granules",OR(AND(i_IndoorOutdoor="Outdoor",$E$5="No"),AND(i_IndoorOutdoor&lt;&gt;"Outdoor",$E$4="No"))),0,IF(Q41&lt;&gt;0,IF(i_CropType="Amenity grassland",(i_AppRateAS4/100)*d_MAF4*d_Turf*d_SalExt*d_AreaHM*d_ReFreqHM*d_ExpDurTreatCrop*i_AbsorpOralInuse4, 0),0))</f>
        <v>0</v>
      </c>
      <c r="R51" s="1074"/>
      <c r="S51" s="1086">
        <f>IF(ISNUMBER(Q51),Q51/d_BwChild, 0)</f>
        <v>0</v>
      </c>
      <c r="T51" s="1087"/>
      <c r="U51" s="99"/>
      <c r="V51" s="1129"/>
      <c r="W51" s="1130"/>
      <c r="X51" s="1131"/>
    </row>
    <row r="52" spans="1:24">
      <c r="A52" s="347" t="s">
        <v>831</v>
      </c>
      <c r="B52" s="1113" cm="1">
        <f t="array" ref="B52">IF(OR(i_FormVal="Granules, fine granules",OR(AND(i_IndoorOutdoor="Outdoor",$E$5="No"),AND(i_IndoorOutdoor&lt;&gt;"Outdoor",$E$4="No"))),0,  IF(i_CropType="Amenity grassland",(i_AppRateAS1/100)*d_DRP*d_MouthGrass*i_AbsorpOralInuse1*d_MAF1,0))</f>
        <v>0</v>
      </c>
      <c r="C52" s="1114"/>
      <c r="D52" s="1091">
        <f>IF(ISNUMBER(B52),B52/d_BwChild, 0)</f>
        <v>0</v>
      </c>
      <c r="E52" s="1092"/>
      <c r="F52" s="326"/>
      <c r="G52" s="1089" cm="1">
        <f t="array" ref="G52">IF(OR(i_FormVal="Granules, fine granules",OR(AND(i_IndoorOutdoor="Outdoor",$E$5="No"),AND(i_IndoorOutdoor&lt;&gt;"Outdoor",$E$4="No"))),0,IF(i_CropType="Amenity grassland",(i_AppRateAS2/100)*d_DRP*d_MouthGrass*i_AbsorpOralInuse2*d_MAF2,0))</f>
        <v>0</v>
      </c>
      <c r="H52" s="1090"/>
      <c r="I52" s="1091">
        <f>IF(ISNUMBER(G52),G52/d_BwChild, 0)</f>
        <v>0</v>
      </c>
      <c r="J52" s="1092"/>
      <c r="K52" s="326"/>
      <c r="L52" s="1089" cm="1">
        <f t="array" ref="L52">IF(OR(i_FormVal="Granules, fine granules",OR(AND(i_IndoorOutdoor="Outdoor",$E$5="No"),AND(i_IndoorOutdoor&lt;&gt;"Outdoor",$E$4="No"))),0,IF(L41&lt;&gt;0,IF(i_CropType="Amenity grassland",(i_AppRateAS3/100)*d_DRP*d_MouthGrass*i_AbsorpOralInuse3*d_MAF3,0),0))</f>
        <v>0</v>
      </c>
      <c r="M52" s="1090"/>
      <c r="N52" s="1091">
        <f>IF(ISNUMBER(L52),L52/d_BwChild, 0)</f>
        <v>0</v>
      </c>
      <c r="O52" s="1092"/>
      <c r="P52" s="326"/>
      <c r="Q52" s="1089" cm="1">
        <f t="array" ref="Q52">IF(OR(i_FormVal="Granules, fine granules",OR(AND(i_IndoorOutdoor="Outdoor",$E$5="No"),AND(i_IndoorOutdoor&lt;&gt;"Outdoor",$E$4="No"))),0,IF(Q41&lt;&gt;0,IF(i_CropType="Amenity grassland",(i_AppRateAS4/100)*d_DRP*d_MouthGrass*i_AbsorpOralInuse4*d_MAF4,0),0))</f>
        <v>0</v>
      </c>
      <c r="R52" s="1090"/>
      <c r="S52" s="1091">
        <f>IF(ISNUMBER(Q52),Q52/d_BwChild, 0)</f>
        <v>0</v>
      </c>
      <c r="T52" s="1092"/>
      <c r="U52" s="348"/>
      <c r="V52" s="1135"/>
      <c r="W52" s="1136"/>
      <c r="X52" s="1137"/>
    </row>
    <row r="53" spans="1:24">
      <c r="A53" s="46" t="s">
        <v>823</v>
      </c>
      <c r="B53" s="988" t="s">
        <v>825</v>
      </c>
      <c r="C53" s="1075"/>
      <c r="D53" s="1054" t="s">
        <v>448</v>
      </c>
      <c r="E53" s="992"/>
      <c r="F53" s="326"/>
      <c r="G53" s="988" t="s">
        <v>825</v>
      </c>
      <c r="H53" s="1075"/>
      <c r="I53" s="1054" t="s">
        <v>448</v>
      </c>
      <c r="J53" s="992"/>
      <c r="K53" s="326"/>
      <c r="L53" s="988" t="s">
        <v>825</v>
      </c>
      <c r="M53" s="1075"/>
      <c r="N53" s="1054" t="s">
        <v>448</v>
      </c>
      <c r="O53" s="992"/>
      <c r="P53" s="326"/>
      <c r="Q53" s="988" t="s">
        <v>825</v>
      </c>
      <c r="R53" s="1075"/>
      <c r="S53" s="1054" t="s">
        <v>448</v>
      </c>
      <c r="T53" s="992"/>
      <c r="V53" s="982" t="s">
        <v>543</v>
      </c>
      <c r="W53" s="984"/>
      <c r="X53" s="986"/>
    </row>
    <row r="54" spans="1:24" ht="48.75" customHeight="1">
      <c r="A54" s="643" t="s">
        <v>826</v>
      </c>
      <c r="B54" s="1055">
        <f>IFERROR(IF(i_FormVal="Granules, fine granules", 0,((ResDermSD75Ad*i_AbsorpInuse1*(1-d_ClothAF))+ResInhalSD75Ad)*d_ConcAs1*(1-Driftreduction)),0)</f>
        <v>0</v>
      </c>
      <c r="C54" s="1056"/>
      <c r="D54" s="1049">
        <f>IF(ISNUMBER(B54),B54/d_BwAdult,0)</f>
        <v>0</v>
      </c>
      <c r="E54" s="1050"/>
      <c r="F54" s="251"/>
      <c r="G54" s="1055">
        <f>IFERROR(IF(i_FormVal="Granules, fine granules", 0,((ResDermSD75Ad*i_AbsorpInuse2*(1-d_ClothAF))+ResInhalSD75Ad)*d_ConcAs2*(1-Driftreduction)),0)</f>
        <v>0</v>
      </c>
      <c r="H54" s="1056"/>
      <c r="I54" s="1049">
        <f>IF(ISNUMBER(G54),G54/d_BwAdult,0)</f>
        <v>0</v>
      </c>
      <c r="J54" s="1050"/>
      <c r="K54" s="251"/>
      <c r="L54" s="1055">
        <f>IFERROR(IF(i_FormVal="Granules, fine granules", 0,((ResDermSD75Ad*i_AbsorpInuse3*(1-d_ClothAF))+ResInhalSD75Ad)*d_ConcAs3*(1-Driftreduction)),0)</f>
        <v>0</v>
      </c>
      <c r="M54" s="1056"/>
      <c r="N54" s="1049">
        <f>IF(ISNUMBER(L54),L54/d_BwAdult,"")</f>
        <v>0</v>
      </c>
      <c r="O54" s="1050"/>
      <c r="P54" s="251"/>
      <c r="Q54" s="1055">
        <f>IFERROR(IF(i_FormVal="Granules, fine granules", 0,((ResDermSD75Ad*i_AbsorpInuse4*(1-d_ClothAF))+ResInhalSD75Ad)*d_ConcAs4*(1-Driftreduction)),0)</f>
        <v>0</v>
      </c>
      <c r="R54" s="1056"/>
      <c r="S54" s="1049">
        <f>IF(ISNUMBER(Q54),Q54/d_BwAdult,"")</f>
        <v>0</v>
      </c>
      <c r="T54" s="1050"/>
      <c r="U54" s="334"/>
      <c r="V54" s="1051" t="str">
        <f>IF(i_FormVal="Granules, fine granules", "NA for application of granules",IF(i_AppMeth="Upward spraying","The only available values are for the 8 m distance downwind from the middle of the tree trunk, which are assumed to represent 5 m distance from the edge of orchard; the same value is used for 5 and 10 m. ",IF(Driftreduction = 0.5,"Since drift reducing nozzles are selected a 50% reduction factor has been applied","N/A")))</f>
        <v>N/A</v>
      </c>
      <c r="W54" s="1052"/>
      <c r="X54" s="1053"/>
    </row>
    <row r="55" spans="1:24">
      <c r="A55" s="643" t="s">
        <v>827</v>
      </c>
      <c r="B55" s="1055">
        <f>i_AbsorpInhalation1*d_AirCon1*d_BreathRAd*d_BwAdult</f>
        <v>1.6199999999999999E-2</v>
      </c>
      <c r="C55" s="1056"/>
      <c r="D55" s="1104">
        <f>IF(ISNUMBER(B55),B55/d_BwAdult,"")</f>
        <v>2.7E-4</v>
      </c>
      <c r="E55" s="1105"/>
      <c r="F55" s="251"/>
      <c r="G55" s="1055">
        <f>i_AbsorpInhalation2*d_AirCon2*d_BreathRAd*d_BwAdult</f>
        <v>1.6199999999999999E-2</v>
      </c>
      <c r="H55" s="1056"/>
      <c r="I55" s="1104">
        <f>IF(ISNUMBER(G55),G55/d_BwAdult,"")</f>
        <v>2.7E-4</v>
      </c>
      <c r="J55" s="1105"/>
      <c r="K55" s="251"/>
      <c r="L55" s="1055">
        <f>i_AbsorpInhalation3*d_AirCon3*d_BreathRAd*d_BwAdult</f>
        <v>1.6199999999999999E-2</v>
      </c>
      <c r="M55" s="1056"/>
      <c r="N55" s="1104">
        <f>IF(ISNUMBER(L55),L55/d_BwAdult,"")</f>
        <v>2.7E-4</v>
      </c>
      <c r="O55" s="1105"/>
      <c r="P55" s="251"/>
      <c r="Q55" s="1055">
        <f>i_AbsorpInhalation4*d_AirCon4*d_BreathRAd*d_BwAdult</f>
        <v>1.6199999999999999E-2</v>
      </c>
      <c r="R55" s="1056"/>
      <c r="S55" s="1049">
        <f>IF(ISNUMBER(Q55),Q55/d_BwAdult,"")</f>
        <v>2.7E-4</v>
      </c>
      <c r="T55" s="1050"/>
      <c r="U55" s="334"/>
      <c r="V55" s="1051"/>
      <c r="W55" s="1052"/>
      <c r="X55" s="1053"/>
    </row>
    <row r="56" spans="1:24">
      <c r="A56" s="643" t="s">
        <v>833</v>
      </c>
      <c r="B56" s="1055" t="e">
        <f>IF(i_AppMeth="In furrow application of granules", "",(d_TTR1/1000)*DrOnSurface75*d_ReTCAd*d_ReExpDur*MAX(i_AbsorpProduct1,i_AbsorpInuse1)*d_MAF1*(1-Driftreduction))</f>
        <v>#N/A</v>
      </c>
      <c r="C56" s="1056"/>
      <c r="D56" s="1049" t="str">
        <f>IF(ISNUMBER(B56),B56/d_BwAdult,"")</f>
        <v/>
      </c>
      <c r="E56" s="1050"/>
      <c r="F56" s="251"/>
      <c r="G56" s="1055" t="e">
        <f>IF(i_AppMeth="In furrow application of granules", "",(d_TTR2/1000)*DrOnSurface75*d_ReTCAd*d_ReExpDur*MAX(i_AbsorpProduct2,i_AbsorpInuse2)*d_MAF2*(1-Driftreduction))</f>
        <v>#N/A</v>
      </c>
      <c r="H56" s="1056"/>
      <c r="I56" s="1049" t="str">
        <f>IF(ISNUMBER(G56),G56/d_BwAdult,"")</f>
        <v/>
      </c>
      <c r="J56" s="1050"/>
      <c r="K56" s="251"/>
      <c r="L56" s="1055" t="str">
        <f>IF(L41&lt;&gt;0,IF(i_AppMeth="In furrow application of granules", "",(d_TTR3/1000)*DrOnSurface75*d_ReTCAd*d_ReExpDur*MAX(i_AbsorpProduct3,i_AbsorpInuse3)*d_MAF3*(1-Driftreduction)),"")</f>
        <v/>
      </c>
      <c r="M56" s="1056"/>
      <c r="N56" s="1049" t="str">
        <f>IF(ISNUMBER(L56),L56/d_BwAdult,"")</f>
        <v/>
      </c>
      <c r="O56" s="1050"/>
      <c r="P56" s="251"/>
      <c r="Q56" s="1055" t="str">
        <f>IF(Q41&lt;&gt;0,IF(i_AppMeth="In furrow application of granules", "",(d_TTR4/1000)*DrOnSurface75*d_ReTCAd*d_ReExpDur*MAX(i_AbsorpProduct4,i_AbsorpInuse4)*d_MAF4*(1-Driftreduction)),"")</f>
        <v/>
      </c>
      <c r="R56" s="1056"/>
      <c r="S56" s="1049" t="str">
        <f>IF(ISNUMBER(Q56),Q56/d_BwAdult,"")</f>
        <v/>
      </c>
      <c r="T56" s="1050"/>
      <c r="U56" s="334"/>
      <c r="V56" s="1046" t="str">
        <f>IF(i_AppMeth="In furrow application of granules", "NA for in furrow or manual application of granules",IF(Driftreduction = 0.5,"Since drift reducing nozzles are selected a 50% reduction factor has been applied",""))</f>
        <v/>
      </c>
      <c r="W56" s="1047"/>
      <c r="X56" s="1048"/>
    </row>
    <row r="57" spans="1:24" ht="35.1" customHeight="1" thickBot="1">
      <c r="A57" s="189" t="s">
        <v>834</v>
      </c>
      <c r="B57" s="1067" cm="1">
        <f t="array" ref="B57">IF(OR(i_FormVal="Granules, fine granules",OR(AND(i_IndoorOutdoor="Outdoor",$E$5="No"),AND(i_IndoorOutdoor&lt;&gt;"Outdoor",$E$4="No"))),0,IF(i_CropType="Amenity grassland",d_TTR1/1000*d_MAF1*d_ReTCAd*d_ExpDurTreatCrop*MAX(i_AbsorpProduct1,i_AbsorpInuse1),IF(LEFT(i_CropType,4)="Bare",ConcSoil1*skinAdhSoil*d_HandSurface*i_AbsorpInuse1,(d_TcEntryAd*0.25*d_DFR1*d_MAF1)/1000*MAX(i_AbsorpProduct1,i_AbsorpInuse1))))</f>
        <v>0</v>
      </c>
      <c r="C57" s="1068"/>
      <c r="D57" s="1065">
        <f>IF(ISNUMBER(B57),B57/d_BwAdult,"")</f>
        <v>0</v>
      </c>
      <c r="E57" s="1066"/>
      <c r="F57" s="88"/>
      <c r="G57" s="1067" cm="1">
        <f t="array" ref="G57">IF(OR(i_FormVal="Granules, fine granules",OR(AND(i_IndoorOutdoor="Outdoor",$E$5="No"),AND(i_IndoorOutdoor&lt;&gt;"Outdoor",$E$4="No"))),0, IF(i_CropType="Amenity grassland", d_TTR2/1000*d_MAF2*d_ReTCAd*d_ExpDurTreatCrop*MAX(i_AbsorpProduct2,i_AbsorpInuse2), IF(LEFT(i_CropType,4)="Bare",ConcSoil2*skinAdhSoil*d_HandSurface*i_AbsorpInuse2,(d_TcEntryAd*0.25*d_DFR2*d_MAF2)/1000*MAX(i_AbsorpProduct2,i_AbsorpInuse2))))</f>
        <v>0</v>
      </c>
      <c r="H57" s="1068"/>
      <c r="I57" s="1065">
        <f>IF(ISNUMBER(G57),G57/d_BwAdult,"")</f>
        <v>0</v>
      </c>
      <c r="J57" s="1066"/>
      <c r="K57" s="251"/>
      <c r="L57" s="1067" t="str" cm="1">
        <f t="array" ref="L57">IF(L41&lt;&gt;0,IF(OR(i_FormVal="Granules, fine granules",OR(AND(i_IndoorOutdoor="Outdoor",$E$5="No"),AND(i_IndoorOutdoor&lt;&gt;"Outdoor",$E$4="No"))),0, IF(i_CropType="Amenity grassland", (d_TTR3/1000)*d_MAF3*d_ReTCAd*d_ExpDurTreatCrop*MAX(i_AbsorpProduct3,i_AbsorpInuse3), IF(LEFT(i_CropType,4)="Bare",ConcSoil3*skinAdhSoil*d_HandSurface*i_AbsorpInuse3,(d_TcEntryAd*0.25*d_DFR3*d_MAF3)/1000*MAX(i_AbsorpProduct3,i_AbsorpInuse3)))),"")</f>
        <v/>
      </c>
      <c r="M57" s="1068"/>
      <c r="N57" s="1065" t="str">
        <f>IF(ISNUMBER(L57),L57/d_BwAdult,"")</f>
        <v/>
      </c>
      <c r="O57" s="1066"/>
      <c r="P57" s="251"/>
      <c r="Q57" s="1067" t="str" cm="1">
        <f t="array" ref="Q57">IF(Q41&lt;&gt;0,IF(OR(i_FormVal="Granules, fine granules",OR(AND(i_IndoorOutdoor="Outdoor",$E$5="No"),AND(i_IndoorOutdoor&lt;&gt;"Outdoor",$E$4="No"))),0, IF(i_CropType="Amenity grassland", (d_TTR4/1000)*d_MAF4*d_ReTCAd*d_ExpDurTreatCrop*MAX(i_AbsorpProduct4,i_AbsorpInuse4), IF(LEFT(i_CropType,4)="Bare",ConcSoil4*skinAdhSoil*d_HandSurface*i_AbsorpInuse4,(d_TcEntryAd*0.25*d_DFR4*d_MAF4)/1000*MAX(i_AbsorpProduct4,i_AbsorpInuse4)))),"")</f>
        <v/>
      </c>
      <c r="R57" s="1068"/>
      <c r="S57" s="1059" t="str">
        <f>IF(ISNUMBER(Q57),Q57/d_BwAdult,"")</f>
        <v/>
      </c>
      <c r="T57" s="1060"/>
      <c r="U57" s="334"/>
      <c r="V57" s="1132"/>
      <c r="W57" s="1133"/>
      <c r="X57" s="1134"/>
    </row>
    <row r="58" spans="1:24" ht="35.1" customHeight="1" thickBot="1">
      <c r="D58" s="315"/>
    </row>
    <row r="59" spans="1:24" ht="35.1" customHeight="1" thickBot="1">
      <c r="A59" s="112" t="s">
        <v>835</v>
      </c>
      <c r="B59" s="1080">
        <f>i_SubstName1</f>
        <v>0</v>
      </c>
      <c r="C59" s="1081"/>
      <c r="D59" s="1081"/>
      <c r="E59" s="1082"/>
      <c r="G59" s="1080">
        <f>i_SubstName2</f>
        <v>0</v>
      </c>
      <c r="H59" s="1081"/>
      <c r="I59" s="1081"/>
      <c r="J59" s="1082"/>
      <c r="L59" s="1080">
        <f>i_SubstName3</f>
        <v>0</v>
      </c>
      <c r="M59" s="1081"/>
      <c r="N59" s="1081"/>
      <c r="O59" s="1082"/>
      <c r="Q59" s="1080">
        <f>i_SubstName4</f>
        <v>0</v>
      </c>
      <c r="R59" s="1081"/>
      <c r="S59" s="1081"/>
      <c r="T59" s="1082"/>
    </row>
    <row r="60" spans="1:24">
      <c r="A60" s="232" t="s">
        <v>821</v>
      </c>
      <c r="B60" s="1069" t="s">
        <v>825</v>
      </c>
      <c r="C60" s="1070"/>
      <c r="D60" s="840" t="s">
        <v>448</v>
      </c>
      <c r="E60" s="1088"/>
      <c r="G60" s="1069" t="s">
        <v>825</v>
      </c>
      <c r="H60" s="1070"/>
      <c r="I60" s="840" t="s">
        <v>448</v>
      </c>
      <c r="J60" s="1088"/>
      <c r="L60" s="1069" t="s">
        <v>825</v>
      </c>
      <c r="M60" s="1070"/>
      <c r="N60" s="840" t="s">
        <v>448</v>
      </c>
      <c r="O60" s="1088"/>
      <c r="Q60" s="1069" t="s">
        <v>825</v>
      </c>
      <c r="R60" s="1070"/>
      <c r="S60" s="840" t="s">
        <v>448</v>
      </c>
      <c r="T60" s="1088"/>
      <c r="V60" s="1095" t="s">
        <v>543</v>
      </c>
      <c r="W60" s="1096"/>
      <c r="X60" s="1097"/>
    </row>
    <row r="61" spans="1:24" ht="48.75" customHeight="1">
      <c r="A61" s="643" t="s">
        <v>826</v>
      </c>
      <c r="B61" s="1055" t="e">
        <f>IF(i_FormVal="Granules, fine granules",0,((ResDermSDmeanCh*i_AbsorpInuse1*(1-d_ClothAF))+ResInhalSDmeanCh)*d_ConcAs1*(1-Driftreduction))</f>
        <v>#N/A</v>
      </c>
      <c r="C61" s="1056"/>
      <c r="D61" s="1049" t="str">
        <f>IF(ISNUMBER(B61), B61/d_BwChild,"N/A")</f>
        <v>N/A</v>
      </c>
      <c r="E61" s="1050"/>
      <c r="F61" s="251"/>
      <c r="G61" s="1055" t="e">
        <f>IF(i_FormVal="Granules, fine granules",0,((ResDermSDmeanCh*i_AbsorpInuse2*(1-d_ClothAF))+ResInhalSDmeanCh)*d_ConcAs2*(1-Driftreduction))</f>
        <v>#N/A</v>
      </c>
      <c r="H61" s="1056"/>
      <c r="I61" s="1049" t="str">
        <f>IF(ISNUMBER(G61), G61/d_BwChild,"N/A")</f>
        <v>N/A</v>
      </c>
      <c r="J61" s="1050"/>
      <c r="K61" s="251"/>
      <c r="L61" s="1055" t="str">
        <f>IF(L41&lt;&gt;0,IF(i_FormVal="Granules, fine granules",,((ResDermSDmeanCh*i_AbsorpInuse3*(1-d_ClothAF))+ResInhalSDmeanCh)*d_ConcAs3*(1-Driftreduction)),"")</f>
        <v/>
      </c>
      <c r="M61" s="1056"/>
      <c r="N61" s="1049" t="str">
        <f>IF(ISNUMBER(L61), L61/d_BwChild,"")</f>
        <v/>
      </c>
      <c r="O61" s="1050"/>
      <c r="P61" s="251"/>
      <c r="Q61" s="1055" t="e">
        <f>IF(i_FormVal="Granules, fine granules",0,((ResDermSDmeanCh*i_AbsorpInuse4*(1-d_ClothAF))+ResInhalSDmeanCh)*d_ConcAs4*(1-Driftreduction))</f>
        <v>#N/A</v>
      </c>
      <c r="R61" s="1056"/>
      <c r="S61" s="1049" t="str">
        <f>IF(ISNUMBER(Q61), Q61/d_BwChild,"N/A")</f>
        <v>N/A</v>
      </c>
      <c r="T61" s="1050"/>
      <c r="U61" s="334"/>
      <c r="V61" s="1051" t="str">
        <f>IF(i_FormVal="Granules, fine granules", "NA for application of granules",IF(i_AppMeth="Upward spraying","the only available values are for the 8 m distance downwind from the middle of the tree trunk, which are assumed to represent 5 m distance from the edge of orchard; the same value is used for 5 and 10 m. ",IF(Driftreduction = 0.5,"Since drift reducing nozzles are selected a 50% reduction factor has been applied","N/A")))</f>
        <v>N/A</v>
      </c>
      <c r="W61" s="1052"/>
      <c r="X61" s="1053"/>
    </row>
    <row r="62" spans="1:24">
      <c r="A62" s="233" t="s">
        <v>827</v>
      </c>
      <c r="B62" s="1057">
        <f>i_AbsorpInhalation1*d_AirCon1*d_BreathRCh*d_BwChild</f>
        <v>8.0000000000000002E-3</v>
      </c>
      <c r="C62" s="1058"/>
      <c r="D62" s="1104">
        <f>IF(ISNUMBER(B62),B62/d_BwChild, "")</f>
        <v>8.0000000000000004E-4</v>
      </c>
      <c r="E62" s="1105"/>
      <c r="F62" s="251"/>
      <c r="G62" s="1057">
        <f>i_AbsorpInhalation2*d_AirCon2*d_BreathRCh*d_BwChild</f>
        <v>8.0000000000000002E-3</v>
      </c>
      <c r="H62" s="1058"/>
      <c r="I62" s="1049">
        <f>IF(ISNUMBER(G62),G62/d_BwChild, "")</f>
        <v>8.0000000000000004E-4</v>
      </c>
      <c r="J62" s="1050"/>
      <c r="K62" s="251"/>
      <c r="L62" s="1057">
        <f>i_AbsorpInhalation3*d_AirCon3*d_BreathRCh*d_BwChild</f>
        <v>8.0000000000000002E-3</v>
      </c>
      <c r="M62" s="1058"/>
      <c r="N62" s="1049">
        <f>IF(ISNUMBER(L62),L62/d_BwChild, "")</f>
        <v>8.0000000000000004E-4</v>
      </c>
      <c r="O62" s="1050"/>
      <c r="P62" s="251"/>
      <c r="Q62" s="1057">
        <f>i_AbsorpInhalation4*d_AirCon4*d_BreathRCh*d_BwChild</f>
        <v>8.0000000000000002E-3</v>
      </c>
      <c r="R62" s="1058"/>
      <c r="S62" s="1049">
        <f>IF(ISNUMBER(Q62),Q62/d_BwChild, "")</f>
        <v>8.0000000000000004E-4</v>
      </c>
      <c r="T62" s="1050"/>
      <c r="V62" s="1051"/>
      <c r="W62" s="1052"/>
      <c r="X62" s="1053"/>
    </row>
    <row r="63" spans="1:24">
      <c r="A63" s="349" t="s">
        <v>828</v>
      </c>
      <c r="B63" s="1078"/>
      <c r="C63" s="1079"/>
      <c r="D63" s="1071"/>
      <c r="E63" s="1072"/>
      <c r="G63" s="1111"/>
      <c r="H63" s="1112"/>
      <c r="I63" s="1061"/>
      <c r="J63" s="1062"/>
      <c r="L63" s="1111"/>
      <c r="M63" s="1112"/>
      <c r="N63" s="1061"/>
      <c r="O63" s="1062"/>
      <c r="Q63" s="1111"/>
      <c r="R63" s="1112"/>
      <c r="S63" s="1061"/>
      <c r="T63" s="1062"/>
      <c r="V63" s="1046" t="e">
        <f>IF(i_AppMeth="In furrow application of granules", "NA for in furrow or manual application of granules",IF(DrOnSurface75="na","NA since upward spraying applications are not expected for this crop type",IF(Driftreduction = 0.5,"Since drift reducing nozzles are selected a 50% reduction factor has been applied","")))</f>
        <v>#N/A</v>
      </c>
      <c r="W63" s="1047"/>
      <c r="X63" s="1048"/>
    </row>
    <row r="64" spans="1:24">
      <c r="A64" s="350" t="s">
        <v>829</v>
      </c>
      <c r="B64" s="1121" t="e">
        <f>IF(i_AppMeth="In furrow application of granules", "",(d_TTR1/1000)*DrOnSurfaceMean*d_ReTCCh*d_ReExpDur*MAX(i_AbsorpProduct1,i_AbsorpInuse1)*d_MAF1*(1-Driftreduction))</f>
        <v>#N/A</v>
      </c>
      <c r="C64" s="1122"/>
      <c r="D64" s="1076" t="str">
        <f>IF(ISNUMBER(B64), B64/d_BwChild,"")</f>
        <v/>
      </c>
      <c r="E64" s="1077"/>
      <c r="G64" s="1093" t="e">
        <f>IF(i_AppMeth="In furrow application of granules", "",(d_TTR2/1000)*$D28*d_ReTCCh*d_ReExpDur*MAX(i_AbsorpProduct2,i_AbsorpInuse2)*d_MAF2*(1-Driftreduction))</f>
        <v>#N/A</v>
      </c>
      <c r="H64" s="1094"/>
      <c r="I64" s="1086" t="str">
        <f>IF(ISNUMBER(G64), G64/d_BwChild,"")</f>
        <v/>
      </c>
      <c r="J64" s="1087"/>
      <c r="L64" s="1093">
        <f>IF(L41&lt;&gt;0,IF(i_AppMeth="In furrow application of granules", "",(d_TTR3/1000)*DrOnSurfaceMean*d_ReTCCh*d_ReExpDur*MAX(i_AbsorpProduct3,i_AbsorpInuse3)*d_MAF3*(1-Driftreduction)),0)</f>
        <v>0</v>
      </c>
      <c r="M64" s="1094"/>
      <c r="N64" s="1086">
        <f>IF(ISNUMBER(L64), L64/d_BwChild,"")</f>
        <v>0</v>
      </c>
      <c r="O64" s="1087"/>
      <c r="Q64" s="1093" t="e">
        <f>IF(i_AppMeth="In furrow application of granules", "",(d_TTR4/1000)*DrOnSurfaceMean*d_ReTCCh*d_ReExpDur*MAX(i_AbsorpProduct4,i_AbsorpInuse4)*d_MAF4*(1-Driftreduction))</f>
        <v>#N/A</v>
      </c>
      <c r="R64" s="1094"/>
      <c r="S64" s="1086" t="str">
        <f>IF(ISNUMBER(Q64), Q64/d_BwChild,"N/A")</f>
        <v>N/A</v>
      </c>
      <c r="T64" s="1087"/>
      <c r="V64" s="1129"/>
      <c r="W64" s="1130"/>
      <c r="X64" s="1131"/>
    </row>
    <row r="65" spans="1:24">
      <c r="A65" s="350" t="s">
        <v>830</v>
      </c>
      <c r="B65" s="1121" t="e">
        <f>IF(i_AppMeth="In furrow application of granules","",(d_TTR1/1000)*DrOnSurfaceMean*d_SalExt*d_AreaHM*d_ReFreqHM*d_ReExpDur*i_AbsorpOralInuse1*d_MAF1*(1-Driftreduction))</f>
        <v>#N/A</v>
      </c>
      <c r="C65" s="1122"/>
      <c r="D65" s="1076" t="str">
        <f>IF(ISNUMBER(B65), B65/d_BwChild,"")</f>
        <v/>
      </c>
      <c r="E65" s="1077"/>
      <c r="G65" s="1073" t="e">
        <f>IF(i_AppMeth="In furrow application of granules","",(d_TTR2/1000)*DrOnSurfaceMean*d_SalExt*d_AreaHM*d_ReFreqHM*d_ReExpDur*i_AbsorpOralInuse2*d_MAF2*(1-Driftreduction))</f>
        <v>#N/A</v>
      </c>
      <c r="H65" s="1074"/>
      <c r="I65" s="1086" t="str">
        <f>IF(ISNUMBER(G65), G65/d_BwChild,"")</f>
        <v/>
      </c>
      <c r="J65" s="1087"/>
      <c r="L65" s="1073">
        <f>IF(L41&lt;&gt;0,IF(i_AppMeth="In furrow application of granules","",(i_AppRateAS3/100)*DrOnSurfaceMean*d_Turf*d_SalExt*d_AreaHM*d_ReFreqHM*d_ReExpDur*i_AbsorpOralInuse3*d_MAF3*(1-Driftreduction)),0)</f>
        <v>0</v>
      </c>
      <c r="M65" s="1074"/>
      <c r="N65" s="1086">
        <f>IF(ISNUMBER(L65), L65/d_BwChild,"")</f>
        <v>0</v>
      </c>
      <c r="O65" s="1087"/>
      <c r="Q65" s="1073" t="e">
        <f>IF(i_AppMeth="In furrow application of granules","",(i_AppRateAS4/100)*DrOnSurfaceMean*d_Turf*d_SalExt*d_AreaHM*d_ReFreqHM*d_ReExpDur*i_AbsorpOralInuse4*d_MAF4*(1-Driftreduction))</f>
        <v>#N/A</v>
      </c>
      <c r="R65" s="1074"/>
      <c r="S65" s="1086" t="str">
        <f>IF(ISNUMBER(Q65), Q65/d_BwChild,"N/A")</f>
        <v>N/A</v>
      </c>
      <c r="T65" s="1087"/>
      <c r="V65" s="1129"/>
      <c r="W65" s="1130"/>
      <c r="X65" s="1131"/>
    </row>
    <row r="66" spans="1:24">
      <c r="A66" s="351" t="s">
        <v>831</v>
      </c>
      <c r="B66" s="1125" t="e">
        <f>IF(i_AppMeth="In furrow application of granules","",(i_AppRateAS1/100)*$D28*d_DRP*d_MouthGrass*i_AbsorpOralInuse1*d_MAF1*(1-Driftreduction))</f>
        <v>#N/A</v>
      </c>
      <c r="C66" s="1126"/>
      <c r="D66" s="1123" t="str">
        <f>IF(ISNUMBER(B66), B66/d_BwChild,"")</f>
        <v/>
      </c>
      <c r="E66" s="1124"/>
      <c r="G66" s="1089" t="e">
        <f>IF(i_AppMeth="In furrow application of granules","",(i_AppRateAS2/100)*$D28*d_DRP*d_MouthGrass*i_AbsorpOralInuse2*d_MAF2*(1-Driftreduction))</f>
        <v>#N/A</v>
      </c>
      <c r="H66" s="1090"/>
      <c r="I66" s="1091" t="str">
        <f>IF(ISNUMBER(G66), G66/d_BwChild,"")</f>
        <v/>
      </c>
      <c r="J66" s="1092"/>
      <c r="L66" s="1089">
        <f>IF(L41&lt;&gt;0,IF(i_AppMeth="In furrow application of granules","",(i_AppRateAS3/100)*$D28*d_DRP*d_MouthGrass*i_AbsorpOralInuse3*d_MAF3*(1-Driftreduction)),0)</f>
        <v>0</v>
      </c>
      <c r="M66" s="1090"/>
      <c r="N66" s="1091">
        <f>IF(ISNUMBER(L66), L66/d_BwChild,"")</f>
        <v>0</v>
      </c>
      <c r="O66" s="1092"/>
      <c r="Q66" s="1089" t="e">
        <f>IF(i_AppMeth="In furrow application of granules","",(i_AppRateAS4/100)*$D28*d_DRP*d_MouthGrass*i_AbsorpOralInuse4*d_MAF4*(1-Driftreduction))</f>
        <v>#N/A</v>
      </c>
      <c r="R66" s="1090"/>
      <c r="S66" s="1091" t="str">
        <f>IF(ISNUMBER(Q66), Q66/d_BwChild,"N/A")</f>
        <v>N/A</v>
      </c>
      <c r="T66" s="1092"/>
      <c r="V66" s="1135"/>
      <c r="W66" s="1136"/>
      <c r="X66" s="1137"/>
    </row>
    <row r="67" spans="1:24">
      <c r="A67" s="349" t="s">
        <v>832</v>
      </c>
      <c r="B67" s="1078"/>
      <c r="C67" s="1079"/>
      <c r="D67" s="1071"/>
      <c r="E67" s="1072"/>
      <c r="G67" s="1111"/>
      <c r="H67" s="1112"/>
      <c r="I67" s="1061"/>
      <c r="J67" s="1062"/>
      <c r="L67" s="1111"/>
      <c r="M67" s="1112"/>
      <c r="N67" s="1061"/>
      <c r="O67" s="1062"/>
      <c r="Q67" s="1111"/>
      <c r="R67" s="1112"/>
      <c r="S67" s="1061"/>
      <c r="T67" s="1062"/>
      <c r="V67" s="1046"/>
      <c r="W67" s="1047"/>
      <c r="X67" s="1048"/>
    </row>
    <row r="68" spans="1:24">
      <c r="A68" s="350" t="s">
        <v>829</v>
      </c>
      <c r="B68" s="1073" cm="1">
        <f t="array" ref="B68">IF(OR(i_FormVal="Granules, fine granules",OR(AND(i_IndoorOutdoor="Outdoor",$E$5="No"),AND(i_IndoorOutdoor&lt;&gt;"Outdoor",$E$4="No"))),0,  IF(i_CropType="Amenity grassland", (d_TTR1/1000)*d_MAF1*d_ReTCCh*d_ExpDurTreatCrop*MAX(i_AbsorpProduct1,i_AbsorpInuse1), IF(LEFT(i_CropType,4)="Bare",ConcSoil1*skinAdhSoil*d_HandSurface*i_AbsorpInuse1,(d_TcEntryMeanCh*0.25*d_DFR1*d_MAF1)/1000*MAX(i_AbsorpProduct1,i_AbsorpInuse1))))</f>
        <v>0</v>
      </c>
      <c r="C68" s="1074"/>
      <c r="D68" s="1086">
        <f>IF(ISNUMBER(B68), B68/d_BwChild,0)</f>
        <v>0</v>
      </c>
      <c r="E68" s="1087"/>
      <c r="G68" s="1093" cm="1">
        <f t="array" ref="G68">IF(G41&lt;&gt;0,IF(OR(i_FormVal="Granules, fine granules",OR(AND(i_IndoorOutdoor="Outdoor",$E$5="No"),AND(i_IndoorOutdoor&lt;&gt;"Outdoor",$E$4="No"))),0,  IF(i_CropType="Amenity grassland", (d_TTR2/1000)*d_MAF2*d_ReTCCh*d_ExpDurTreatCrop*MAX(i_AbsorpProduct2,i_AbsorpInuse2), IF(LEFT(i_CropType,4)="Bare",ConcSoil2*skinAdhSoil*d_HandSurface*i_AbsorpInuse2,(d_TcEntryMeanCh*0.25*d_DFR2*d_MAF2)/1000*MAX(i_AbsorpProduct2,i_AbsorpInuse2)))),0)</f>
        <v>0</v>
      </c>
      <c r="H68" s="1094"/>
      <c r="I68" s="1086">
        <f>IF(ISNUMBER(G68), G68/d_BwChild,0)</f>
        <v>0</v>
      </c>
      <c r="J68" s="1087"/>
      <c r="L68" s="1093" cm="1">
        <f t="array" ref="L68">IF(L41&lt;&gt;0,IF(OR(i_FormVal="Granules, fine granules",OR(AND(i_IndoorOutdoor="Outdoor",$E$5="No"),AND(i_IndoorOutdoor&lt;&gt;"Outdoor",$E$4="No"))),0, IF(i_CropType="Amenity grassland", (d_TTR3/1000)*d_MAF3*d_ReTCCh*d_ExpDurTreatCrop*MAX(i_AbsorpProduct3,i_AbsorpInuse3),IF(LEFT(i_CropType,4)="Bare",ConcSoil3*skinAdhSoil*d_HandSurface*i_AbsorpInuse3,(d_TcEntryMeanCh*0.25*d_DFR3*d_MAF3)/1000*MAX(i_AbsorpProduct3,i_AbsorpInuse3)))),0)</f>
        <v>0</v>
      </c>
      <c r="M68" s="1094"/>
      <c r="N68" s="1086">
        <f>IF(ISNUMBER(L68), L68/d_BwChild,"")</f>
        <v>0</v>
      </c>
      <c r="O68" s="1087"/>
      <c r="Q68" s="1093" cm="1">
        <f t="array" ref="Q68">IF(Q41&lt;&gt;0,IF(OR(i_FormVal="Granules, fine granules",OR(AND(i_IndoorOutdoor="Outdoor",$E$5="No"),AND(i_IndoorOutdoor&lt;&gt;"Outdoor",$E$4="No"))),0, IF(i_CropType="Amenity grassland", (d_TTR4/1000)*d_MAF4*d_ReTCCh*d_ExpDurTreatCrop*MAX(i_AbsorpProduct4,i_AbsorpInuse4),IF(LEFT(i_CropType,4)="Bare",ConcSoil4*skinAdhSoil*d_HandSurface*i_AbsorpInuse4,(d_TcEntryMeanCh*0.25*d_DFR4*d_MAF4)/1000*MAX(i_AbsorpProduct4,i_AbsorpInuse4)))),0)</f>
        <v>0</v>
      </c>
      <c r="R68" s="1094"/>
      <c r="S68" s="1086">
        <f>IF(ISNUMBER(Q68), Q68/d_BwChild,0)</f>
        <v>0</v>
      </c>
      <c r="T68" s="1087"/>
      <c r="V68" s="1129" t="str">
        <f>IF(i_FormVal="Granules, fine granules","NA for application of granules","")</f>
        <v/>
      </c>
      <c r="W68" s="1130"/>
      <c r="X68" s="1131"/>
    </row>
    <row r="69" spans="1:24">
      <c r="A69" s="350" t="s">
        <v>830</v>
      </c>
      <c r="B69" s="1073" cm="1">
        <f t="array" ref="B69">IF(OR(i_FormVal="Granules, fine granules",OR(AND(i_IndoorOutdoor="Outdoor",$E$5="No"),AND(i_IndoorOutdoor&lt;&gt;"Outdoor",$E$4="No"))),0,IF(i_CropType="Amenity grassland",(i_AppRateAS1/100)*d_MAF1*1*d_Turf*d_SalExt*d_AreaHM*d_ReFreqHM*d_ExpDurTreatCrop*i_AbsorpOralInuse1,))</f>
        <v>0</v>
      </c>
      <c r="C69" s="1074"/>
      <c r="D69" s="1086">
        <f>IF(ISNUMBER(B69), B69/d_BwChild,"")</f>
        <v>0</v>
      </c>
      <c r="E69" s="1087"/>
      <c r="G69" s="1073" cm="1">
        <f t="array" ref="G69">IF(OR(i_FormVal="Granules, fine granules",OR(AND(i_IndoorOutdoor="Outdoor",$E$5="No"),AND(i_IndoorOutdoor&lt;&gt;"Outdoor",$E$4="No"))),0,IF(i_CropType="Amenity grassland",(i_AppRateAS2/100)*d_MAF2*1*d_Turf*d_SalExt*d_AreaHM*d_ReFreqHM*d_ExpDurTreatCrop*i_AbsorpOralInuse2,0))</f>
        <v>0</v>
      </c>
      <c r="H69" s="1074"/>
      <c r="I69" s="1086">
        <f>IF(ISNUMBER(G69), G69/d_BwChild,"")</f>
        <v>0</v>
      </c>
      <c r="J69" s="1087"/>
      <c r="L69" s="1073" cm="1">
        <f t="array" ref="L69">IF(OR(i_FormVal="Granules, fine granules",OR(AND(i_IndoorOutdoor="Outdoor",$E$5="No"),AND(i_IndoorOutdoor&lt;&gt;"Outdoor",$E$4="No"))),0,IF(L41&lt;&gt;0,IF(i_CropType="Amenity grassland",(i_AppRateAS3/100)*d_MAF3*1*d_Turf*d_SalExt*d_AreaHM*d_ReFreqHM*d_ExpDurTreatCrop*i_AbsorpOralInuse3,0),0))</f>
        <v>0</v>
      </c>
      <c r="M69" s="1074"/>
      <c r="N69" s="1086">
        <f>IF(ISNUMBER(L69), L69/d_BwChild,"")</f>
        <v>0</v>
      </c>
      <c r="O69" s="1087"/>
      <c r="Q69" s="1073" cm="1">
        <f t="array" ref="Q69">IF(OR(i_FormVal="Granules, fine granules",OR(AND(i_IndoorOutdoor="Outdoor",$E$5="No"),AND(i_IndoorOutdoor&lt;&gt;"Outdoor",$E$4="No"))),0,IF(i_CropType="Amenity grassland",(i_AppRateAS4/100)*d_MAF4*1*d_Turf*d_SalExt*d_AreaHM*d_ReFreqHM*d_ExpDurTreatCrop*i_AbsorpOralInuse4,0))</f>
        <v>0</v>
      </c>
      <c r="R69" s="1074"/>
      <c r="S69" s="1086">
        <f>IF(ISNUMBER(Q69), Q69/d_BwChild,0)</f>
        <v>0</v>
      </c>
      <c r="T69" s="1087"/>
      <c r="V69" s="1129" t="str">
        <f>IF(i_CropType="Amenity grassland","","Considered only for application on grassland and lawns and for application on golf course, turf or other sports lawns. ")</f>
        <v xml:space="preserve">Considered only for application on grassland and lawns and for application on golf course, turf or other sports lawns. </v>
      </c>
      <c r="W69" s="1130"/>
      <c r="X69" s="1131"/>
    </row>
    <row r="70" spans="1:24" s="455" customFormat="1" ht="15.75" thickBot="1">
      <c r="A70" s="725" t="s">
        <v>831</v>
      </c>
      <c r="B70" s="1127" cm="1">
        <f t="array" ref="B70">IF(OR(i_FormVal="Granules, fine granules",OR(AND(i_IndoorOutdoor="Outdoor",$E$5="No"),AND(i_IndoorOutdoor&lt;&gt;"Outdoor",$E$4="No"))),0,IF(i_CropType="Amenity grassland",(i_AppRateAS1/100)*1*d_DRP*d_MouthGrass*i_AbsorpOralInuse1*d_MAF1,0))</f>
        <v>0</v>
      </c>
      <c r="C70" s="1128"/>
      <c r="D70" s="1049">
        <f>IF(ISNUMBER(B70), B70/d_BwChild,"")</f>
        <v>0</v>
      </c>
      <c r="E70" s="1050"/>
      <c r="G70" s="1127" cm="1">
        <f t="array" ref="G70">IF(OR(i_FormVal="Granules, fine granules",OR(AND(i_IndoorOutdoor="Outdoor",$E$5="No"),AND(i_IndoorOutdoor&lt;&gt;"Outdoor",$E$4="No"))),0,IF(i_CropType="Amenity grassland",(i_AppRateAS2/100)*1*d_DRP*d_MouthGrass*i_AbsorpOralInuse2*d_MAF2,0))</f>
        <v>0</v>
      </c>
      <c r="H70" s="1128"/>
      <c r="I70" s="1049">
        <f>IF(ISNUMBER(G70), G70/d_BwChild,"")</f>
        <v>0</v>
      </c>
      <c r="J70" s="1050"/>
      <c r="L70" s="1127" cm="1">
        <f t="array" ref="L70">IF(OR(i_FormVal="Granules, fine granules",OR(AND(i_IndoorOutdoor="Outdoor",$E$5="No"),AND(i_IndoorOutdoor&lt;&gt;"Outdoor",$E$4="No"))),0,IF(L41&lt;&gt;0,IF(i_CropType="Amenity grassland",(i_AppRateAS3/100)*1*d_DRP*d_MouthGrass*i_AbsorpOralInuse3*d_MAF3,0),0))</f>
        <v>0</v>
      </c>
      <c r="M70" s="1128"/>
      <c r="N70" s="1049">
        <f>IF(ISNUMBER(L70), L70/d_BwChild,"")</f>
        <v>0</v>
      </c>
      <c r="O70" s="1050"/>
      <c r="Q70" s="1127" cm="1">
        <f t="array" ref="Q70">IF(OR(i_FormVal="Granules, fine granules",OR(AND(i_IndoorOutdoor="Outdoor",$E$5="No"),AND(i_IndoorOutdoor&lt;&gt;"Outdoor",$E$4="No"))),0,IF(i_CropType="Amenity grassland",(i_AppRateAS4/100)*1*d_DRP*d_MouthGrass*i_AbsorpOralInuse4*d_MAF4,0))</f>
        <v>0</v>
      </c>
      <c r="R70" s="1128"/>
      <c r="S70" s="1049">
        <f>IF(ISNUMBER(Q70), Q70/d_BwChild,0)</f>
        <v>0</v>
      </c>
      <c r="T70" s="1050"/>
      <c r="V70" s="1132"/>
      <c r="W70" s="1133"/>
      <c r="X70" s="1134"/>
    </row>
    <row r="71" spans="1:24">
      <c r="A71" s="724" t="s">
        <v>823</v>
      </c>
      <c r="B71" s="988" t="s">
        <v>825</v>
      </c>
      <c r="C71" s="1075"/>
      <c r="D71" s="1054" t="s">
        <v>448</v>
      </c>
      <c r="E71" s="992"/>
      <c r="G71" s="988" t="s">
        <v>825</v>
      </c>
      <c r="H71" s="1075"/>
      <c r="I71" s="1054" t="s">
        <v>448</v>
      </c>
      <c r="J71" s="992"/>
      <c r="L71" s="988" t="s">
        <v>825</v>
      </c>
      <c r="M71" s="1075"/>
      <c r="N71" s="1054" t="s">
        <v>448</v>
      </c>
      <c r="O71" s="992"/>
      <c r="Q71" s="988" t="s">
        <v>825</v>
      </c>
      <c r="R71" s="1075"/>
      <c r="S71" s="1054" t="s">
        <v>448</v>
      </c>
      <c r="T71" s="992"/>
      <c r="V71" s="982" t="s">
        <v>543</v>
      </c>
      <c r="W71" s="984"/>
      <c r="X71" s="986"/>
    </row>
    <row r="72" spans="1:24" ht="48.75" customHeight="1">
      <c r="A72" s="643" t="s">
        <v>826</v>
      </c>
      <c r="B72" s="1055" t="e">
        <f>IF(i_FormVal="Granules, fine granules", 0,(($D22*i_AbsorpInuse1*(1-d_ClothAF))+$D24)*d_ConcAs1*(1-Driftreduction))</f>
        <v>#N/A</v>
      </c>
      <c r="C72" s="1056"/>
      <c r="D72" s="1049">
        <f>IF(ISNUMBER(B72),B72/d_BwAdult,0)</f>
        <v>0</v>
      </c>
      <c r="E72" s="1050"/>
      <c r="F72" s="251"/>
      <c r="G72" s="1055" t="e">
        <f>IF(i_FormVal="Granules, fine granules", 0,(($D22*i_AbsorpInuse2*(1-d_ClothAF))+$D24)*d_ConcAs2*(1-Driftreduction))</f>
        <v>#N/A</v>
      </c>
      <c r="H72" s="1056"/>
      <c r="I72" s="1049">
        <f>IF(ISNUMBER(G72),G72/d_BwAdult,0)</f>
        <v>0</v>
      </c>
      <c r="J72" s="1050"/>
      <c r="K72" s="251"/>
      <c r="L72" s="1055">
        <f>IF(L41&lt;&gt;0,IF(i_FormVal="Granules, fine granules", 0,(($D22*i_AbsorpInuse3*(1-d_ClothAF))+$D24)*d_ConcAs3*(1-Driftreduction)),0)</f>
        <v>0</v>
      </c>
      <c r="M72" s="1056"/>
      <c r="N72" s="1049">
        <f>IF(ISNUMBER(L72),L72/d_BwAdult,"")</f>
        <v>0</v>
      </c>
      <c r="O72" s="1050"/>
      <c r="P72" s="251"/>
      <c r="Q72" s="1055" t="e">
        <f>IF(i_FormVal="Granules, fine granules", 0,(($D22*i_AbsorpInuse4*(1-d_ClothAF))+$D24)*d_ConcAs4*(1-Driftreduction))</f>
        <v>#N/A</v>
      </c>
      <c r="R72" s="1056"/>
      <c r="S72" s="1049">
        <f>IF(ISNUMBER(Q72),Q72/d_BwAdult,0)</f>
        <v>0</v>
      </c>
      <c r="T72" s="1050"/>
      <c r="U72" s="334"/>
      <c r="V72" s="1051" t="str">
        <f>IF(i_FormVal="Granules, fine granules", "NA for application of granules",IF(i_AppMeth="Upward spraying","the only available values are for the 8 m distance downwind from the middle of the tree trunk, which are assumed to represent 5 m distance from the edge of orchard; the same value is used for 5 and 10 m. ",IF(Driftreduction = 0.5,"Since drift reducing nozzles are selected a 50% reduction factor has been applied","")))</f>
        <v/>
      </c>
      <c r="W72" s="1052"/>
      <c r="X72" s="1053"/>
    </row>
    <row r="73" spans="1:24">
      <c r="A73" s="233" t="s">
        <v>827</v>
      </c>
      <c r="B73" s="1057">
        <f>i_AbsorpInhalation1*d_AirCon1*d_BreathRAd*d_BwAdult</f>
        <v>1.6199999999999999E-2</v>
      </c>
      <c r="C73" s="1058"/>
      <c r="D73" s="1049">
        <f>IF(ISNUMBER(B73),B73/d_BwAdult,"")</f>
        <v>2.7E-4</v>
      </c>
      <c r="E73" s="1050"/>
      <c r="G73" s="1057">
        <f>i_AbsorpInhalation2*d_AirCon2*d_BreathRAd*d_BwAdult</f>
        <v>1.6199999999999999E-2</v>
      </c>
      <c r="H73" s="1058"/>
      <c r="I73" s="1104">
        <f>IF(ISNUMBER(G73),G73/d_BwAdult,"")</f>
        <v>2.7E-4</v>
      </c>
      <c r="J73" s="1105"/>
      <c r="K73" s="251"/>
      <c r="L73" s="1057">
        <f>i_AbsorpInhalation3*d_AirCon3*d_BreathRAd*d_BwAdult</f>
        <v>1.6199999999999999E-2</v>
      </c>
      <c r="M73" s="1058"/>
      <c r="N73" s="1049">
        <f>IF(ISNUMBER(L73),L73/d_BwAdult,"")</f>
        <v>2.7E-4</v>
      </c>
      <c r="O73" s="1050"/>
      <c r="P73" s="251"/>
      <c r="Q73" s="1057">
        <f>i_AbsorpInhalation4*d_AirCon4*d_BreathRAd*d_BwAdult</f>
        <v>1.6199999999999999E-2</v>
      </c>
      <c r="R73" s="1058"/>
      <c r="S73" s="1049">
        <f>IF(ISNUMBER(Q73),Q73/d_BwAdult,"")</f>
        <v>2.7E-4</v>
      </c>
      <c r="T73" s="1050"/>
      <c r="V73" s="1051"/>
      <c r="W73" s="1052"/>
      <c r="X73" s="1053"/>
    </row>
    <row r="74" spans="1:24">
      <c r="A74" s="233" t="s">
        <v>833</v>
      </c>
      <c r="B74" s="1057" t="e">
        <f>IF(i_AppMeth="In furrow application of granules", "",(d_TTR1/1000)*$D28*d_ReTCAd*d_ReExpDur*MAX(i_AbsorpProduct1,i_AbsorpInuse1)*d_MAF1*(1-Driftreduction))</f>
        <v>#N/A</v>
      </c>
      <c r="C74" s="1058"/>
      <c r="D74" s="1049" t="str">
        <f>IF(ISNUMBER(B74),B74/d_BwAdult,"")</f>
        <v/>
      </c>
      <c r="E74" s="1050"/>
      <c r="G74" s="1057" t="e">
        <f>IF(i_AppMeth="In furrow application of granules", "",(d_TTR2/1000)*$D28*d_ReTCAd*d_ReExpDur*MAX(i_AbsorpProduct2,i_AbsorpInuse2)*d_MAF2*(1-Driftreduction))</f>
        <v>#N/A</v>
      </c>
      <c r="H74" s="1058"/>
      <c r="I74" s="1104" t="str">
        <f>IF(ISNUMBER(G74),G74/d_BwAdult,"")</f>
        <v/>
      </c>
      <c r="J74" s="1105"/>
      <c r="L74" s="1055">
        <f>IF(L41&lt;&gt;0,IF(i_AppMeth="In furrow application of granules", "",(d_TTR3/1000)*$D28*d_ReTCAd*d_ReExpDur*MAX(i_AbsorpProduct3,i_AbsorpInuse3)*d_MAF3*(1-Driftreduction)),0)</f>
        <v>0</v>
      </c>
      <c r="M74" s="1056"/>
      <c r="N74" s="1049">
        <f>IF(ISNUMBER(L74),L74/d_BwAdult,"")</f>
        <v>0</v>
      </c>
      <c r="O74" s="1050"/>
      <c r="Q74" s="1055" t="e">
        <f>IF(i_AppMeth="In furrow application of granules", "",(d_TTR4/1000)*$D28*d_ReTCAd*d_ReExpDur*MAX(i_AbsorpProduct4,i_AbsorpInuse4)*d_MAF4*(1-Driftreduction))</f>
        <v>#N/A</v>
      </c>
      <c r="R74" s="1056"/>
      <c r="S74" s="1049" t="str">
        <f>IF(ISNUMBER(Q74),Q74/d_BwAdult,"")</f>
        <v/>
      </c>
      <c r="T74" s="1050"/>
      <c r="V74" s="1051" t="str">
        <f>IF(OR(i_AppMeth="In furrow application of granules", i_AppMeth="Manual application of granules"), "NA for in furrow or manual application of granules",IF(Driftreduction = 0.5,"Since drift reducing nozzles are selected a 50% reduction factor has been applied",""))</f>
        <v/>
      </c>
      <c r="W74" s="1052"/>
      <c r="X74" s="1053"/>
    </row>
    <row r="75" spans="1:24" ht="30.75" thickBot="1">
      <c r="A75" s="233" t="s">
        <v>834</v>
      </c>
      <c r="B75" s="1067" cm="1">
        <f t="array" ref="B75">IF(OR(i_FormVal="Granules, fine granules",OR(AND(i_IndoorOutdoor="Outdoor",$E$5="No"),AND(i_IndoorOutdoor&lt;&gt;"Outdoor",$E$4="No"))),0,IF(i_CropType="Amenity grassland",d_TTR1/1000*d_MAF1*d_ReTCAd*d_ExpDurTreatCrop*MAX(i_AbsorpProduct1,i_AbsorpInuse1),IF(LEFT(i_CropType,4)="Bare",ConcSoil1*skinAdhSoil*d_HandSurface*i_AbsorpInuse1,(d_TcEntryMeanAd*0.25*d_DFR1*d_MAF1)/1000*MAX(i_AbsorpProduct1,i_AbsorpInuse1))))</f>
        <v>0</v>
      </c>
      <c r="C75" s="1068"/>
      <c r="D75" s="1059">
        <f>IF(ISNUMBER(B75),B75/d_BwAdult,"")</f>
        <v>0</v>
      </c>
      <c r="E75" s="1060"/>
      <c r="G75" s="1117" cm="1">
        <f t="array" ref="G75">IF(OR(i_FormVal="Granules, fine granules",OR(AND(i_IndoorOutdoor="Outdoor",$E$5="No"),AND(i_IndoorOutdoor&lt;&gt;"Outdoor",$E$4="No"))),0, IF(i_CropType="Amenity grassland", d_TTR2/1000*d_MAF2*d_ReTCAd*d_ExpDurTreatCrop*MAX(i_AbsorpProduct2,i_AbsorpInuse2), IF(LEFT(i_CropType,4)="Bare",ConcSoil2*skinAdhSoil*d_HandSurface*i_AbsorpInuse2,(d_TcEntryMeanAd*0.25*d_DFR2*d_MAF2)/1000*MAX(i_AbsorpProduct2,i_AbsorpInuse2))))</f>
        <v>0</v>
      </c>
      <c r="H75" s="1118"/>
      <c r="I75" s="1119">
        <f>IF(ISNUMBER(G75),G75/d_BwAdult,"")</f>
        <v>0</v>
      </c>
      <c r="J75" s="1120"/>
      <c r="L75" s="1044" t="str" cm="1">
        <f t="array" ref="L75">IF(L41&lt;&gt;0,IF(OR(i_FormVal="Granules, fine granules",OR(AND(i_IndoorOutdoor="Outdoor",$E$5="No"),AND(i_IndoorOutdoor&lt;&gt;"Outdoor",$E$4="No"))),0, IF(i_CropType="Amenity grassland", (d_TTR3/1000)*d_MAF3*d_ReTCAd*d_ExpDurTreatCrop*MAX(i_AbsorpProduct3,i_AbsorpInuse3), IF(LEFT(i_CropType,4)="Bare",ConcSoil3*skinAdhSoil*d_HandSurface*i_AbsorpInuse3,(d_TcEntryMeanAd*0.25*d_DFR3*d_MAF3)/1000*MAX(i_AbsorpProduct3,i_AbsorpInuse3)))),"")</f>
        <v/>
      </c>
      <c r="M75" s="1045"/>
      <c r="N75" s="1059" t="str">
        <f>IF(ISNUMBER(L75),L75/d_BwAdult,"")</f>
        <v/>
      </c>
      <c r="O75" s="1060"/>
      <c r="Q75" s="1044" t="str" cm="1">
        <f t="array" ref="Q75">IF(Q41&lt;&gt;0,IF(OR(i_FormVal="Granules, fine granules",OR(AND(i_IndoorOutdoor="Outdoor",$E$5="No"),AND(i_IndoorOutdoor&lt;&gt;"Outdoor",$E$4="No"))),0, IF(i_CropType="Amenity grassland", (d_TTR4/1000)*d_MAF4*d_ReTCAd*d_ExpDurTreatCrop*MAX(i_AbsorpProduct4,i_AbsorpInuse4), IF(LEFT(i_CropType,4)="Bare",ConcSoil4*skinAdhSoil*d_HandSurface*i_AbsorpInuse4,(d_TcEntryMeanAd*0.25*d_DFR4*d_MAF4)/1000*MAX(i_AbsorpProduct4,i_AbsorpInuse4)))),"")</f>
        <v/>
      </c>
      <c r="R75" s="1045"/>
      <c r="S75" s="1059" t="str">
        <f>IF(ISNUMBER(Q75),Q75/d_BwAdult,"")</f>
        <v/>
      </c>
      <c r="T75" s="1060"/>
      <c r="V75" s="1041" t="str">
        <f>IF(i_FormVal="Granules, fine granules","NA for application of granules since calculation is same as for worker exposure and have no worker exposure for application of granules","")</f>
        <v/>
      </c>
      <c r="W75" s="1042"/>
      <c r="X75" s="1043"/>
    </row>
  </sheetData>
  <sheetProtection algorithmName="SHA-512" hashValue="gHHpJgTFDCePH43xeWGNJGoqlDtpkbIuGIs9y7lAvvYS920iBzQ4NekXKs3/a0kXFFDgTOlp+6hSE2kUE+EhZw==" saltValue="X4ALkudOVGMzf93lzGJIdg==" spinCount="100000" sheet="1" formatCells="0" formatColumns="0"/>
  <mergeCells count="348">
    <mergeCell ref="V37:Z38"/>
    <mergeCell ref="V68:X68"/>
    <mergeCell ref="V62:X62"/>
    <mergeCell ref="Q50:R50"/>
    <mergeCell ref="N62:O62"/>
    <mergeCell ref="Q68:R68"/>
    <mergeCell ref="Q63:R63"/>
    <mergeCell ref="Q64:R64"/>
    <mergeCell ref="Q65:R65"/>
    <mergeCell ref="V53:X53"/>
    <mergeCell ref="V54:X54"/>
    <mergeCell ref="N64:O64"/>
    <mergeCell ref="N65:O65"/>
    <mergeCell ref="V55:X55"/>
    <mergeCell ref="V61:X61"/>
    <mergeCell ref="N63:O63"/>
    <mergeCell ref="Q62:R62"/>
    <mergeCell ref="S54:T54"/>
    <mergeCell ref="S55:T55"/>
    <mergeCell ref="V43:X43"/>
    <mergeCell ref="V44:X44"/>
    <mergeCell ref="S46:T46"/>
    <mergeCell ref="S47:T47"/>
    <mergeCell ref="Q48:R48"/>
    <mergeCell ref="V33:Z34"/>
    <mergeCell ref="N70:O70"/>
    <mergeCell ref="S45:T45"/>
    <mergeCell ref="Q45:R45"/>
    <mergeCell ref="N45:O45"/>
    <mergeCell ref="N48:O48"/>
    <mergeCell ref="N49:O49"/>
    <mergeCell ref="N42:O42"/>
    <mergeCell ref="Q44:R44"/>
    <mergeCell ref="Q43:R43"/>
    <mergeCell ref="Q70:R70"/>
    <mergeCell ref="Q60:R60"/>
    <mergeCell ref="Q61:R61"/>
    <mergeCell ref="Q67:R67"/>
    <mergeCell ref="Q69:R69"/>
    <mergeCell ref="Q66:R66"/>
    <mergeCell ref="N69:O69"/>
    <mergeCell ref="V45:X48"/>
    <mergeCell ref="V63:X66"/>
    <mergeCell ref="S69:T69"/>
    <mergeCell ref="S70:T70"/>
    <mergeCell ref="V42:X42"/>
    <mergeCell ref="S44:T44"/>
    <mergeCell ref="N44:O44"/>
    <mergeCell ref="V60:X60"/>
    <mergeCell ref="S64:T64"/>
    <mergeCell ref="Q59:T59"/>
    <mergeCell ref="S52:T52"/>
    <mergeCell ref="Q56:R56"/>
    <mergeCell ref="S50:T50"/>
    <mergeCell ref="Q46:R46"/>
    <mergeCell ref="V72:X72"/>
    <mergeCell ref="S66:T66"/>
    <mergeCell ref="S67:T67"/>
    <mergeCell ref="S63:T63"/>
    <mergeCell ref="S62:T62"/>
    <mergeCell ref="S72:T72"/>
    <mergeCell ref="V69:X70"/>
    <mergeCell ref="S71:T71"/>
    <mergeCell ref="S68:T68"/>
    <mergeCell ref="S48:T48"/>
    <mergeCell ref="S49:T49"/>
    <mergeCell ref="V56:X57"/>
    <mergeCell ref="V49:X52"/>
    <mergeCell ref="S60:T60"/>
    <mergeCell ref="S61:T61"/>
    <mergeCell ref="Q71:R71"/>
    <mergeCell ref="Q72:R72"/>
    <mergeCell ref="I61:J61"/>
    <mergeCell ref="I62:J62"/>
    <mergeCell ref="L63:M63"/>
    <mergeCell ref="L70:M70"/>
    <mergeCell ref="L59:O59"/>
    <mergeCell ref="L52:M52"/>
    <mergeCell ref="N52:O52"/>
    <mergeCell ref="I60:J60"/>
    <mergeCell ref="G59:J59"/>
    <mergeCell ref="L57:M57"/>
    <mergeCell ref="I56:J56"/>
    <mergeCell ref="L60:M60"/>
    <mergeCell ref="B75:C75"/>
    <mergeCell ref="I64:J64"/>
    <mergeCell ref="I65:J65"/>
    <mergeCell ref="G70:H70"/>
    <mergeCell ref="B70:C70"/>
    <mergeCell ref="I69:J69"/>
    <mergeCell ref="I66:J66"/>
    <mergeCell ref="I67:J67"/>
    <mergeCell ref="I68:J68"/>
    <mergeCell ref="D64:E64"/>
    <mergeCell ref="I70:J70"/>
    <mergeCell ref="I72:J72"/>
    <mergeCell ref="G73:H73"/>
    <mergeCell ref="G67:H67"/>
    <mergeCell ref="I74:J74"/>
    <mergeCell ref="G71:H71"/>
    <mergeCell ref="G72:H72"/>
    <mergeCell ref="B67:C67"/>
    <mergeCell ref="B68:C68"/>
    <mergeCell ref="G64:H64"/>
    <mergeCell ref="G74:H74"/>
    <mergeCell ref="I73:J73"/>
    <mergeCell ref="I71:J71"/>
    <mergeCell ref="B59:E59"/>
    <mergeCell ref="D71:E71"/>
    <mergeCell ref="D72:E72"/>
    <mergeCell ref="B60:C60"/>
    <mergeCell ref="B74:C74"/>
    <mergeCell ref="B73:C73"/>
    <mergeCell ref="B71:C71"/>
    <mergeCell ref="D74:E74"/>
    <mergeCell ref="B72:C72"/>
    <mergeCell ref="B62:C62"/>
    <mergeCell ref="B61:C61"/>
    <mergeCell ref="B63:C63"/>
    <mergeCell ref="B64:C64"/>
    <mergeCell ref="B65:C65"/>
    <mergeCell ref="D65:E65"/>
    <mergeCell ref="D62:E62"/>
    <mergeCell ref="D66:E66"/>
    <mergeCell ref="D67:E67"/>
    <mergeCell ref="D68:E68"/>
    <mergeCell ref="B69:C69"/>
    <mergeCell ref="D70:E70"/>
    <mergeCell ref="D61:E61"/>
    <mergeCell ref="D69:E69"/>
    <mergeCell ref="B66:C66"/>
    <mergeCell ref="D63:E63"/>
    <mergeCell ref="D60:E60"/>
    <mergeCell ref="G60:H60"/>
    <mergeCell ref="D75:E75"/>
    <mergeCell ref="L75:M75"/>
    <mergeCell ref="G65:H65"/>
    <mergeCell ref="G66:H66"/>
    <mergeCell ref="G68:H68"/>
    <mergeCell ref="G75:H75"/>
    <mergeCell ref="G69:H69"/>
    <mergeCell ref="L62:M62"/>
    <mergeCell ref="L69:M69"/>
    <mergeCell ref="L65:M65"/>
    <mergeCell ref="L66:M66"/>
    <mergeCell ref="L67:M67"/>
    <mergeCell ref="L68:M68"/>
    <mergeCell ref="I75:J75"/>
    <mergeCell ref="D73:E73"/>
    <mergeCell ref="I63:J63"/>
    <mergeCell ref="G63:H63"/>
    <mergeCell ref="G62:H62"/>
    <mergeCell ref="G61:H61"/>
    <mergeCell ref="L64:M64"/>
    <mergeCell ref="L71:M71"/>
    <mergeCell ref="G7:K7"/>
    <mergeCell ref="L7:P7"/>
    <mergeCell ref="G14:K14"/>
    <mergeCell ref="D43:E43"/>
    <mergeCell ref="D44:E44"/>
    <mergeCell ref="D57:E57"/>
    <mergeCell ref="G57:H57"/>
    <mergeCell ref="A8:B8"/>
    <mergeCell ref="A9:B9"/>
    <mergeCell ref="C8:F8"/>
    <mergeCell ref="B46:C46"/>
    <mergeCell ref="B47:C47"/>
    <mergeCell ref="B48:C48"/>
    <mergeCell ref="B49:C49"/>
    <mergeCell ref="B52:C52"/>
    <mergeCell ref="B43:C43"/>
    <mergeCell ref="B44:C44"/>
    <mergeCell ref="G55:H55"/>
    <mergeCell ref="I47:J47"/>
    <mergeCell ref="B45:C45"/>
    <mergeCell ref="I50:J50"/>
    <mergeCell ref="B31:F31"/>
    <mergeCell ref="G31:K31"/>
    <mergeCell ref="L31:P31"/>
    <mergeCell ref="B41:E41"/>
    <mergeCell ref="L16:P16"/>
    <mergeCell ref="C16:F16"/>
    <mergeCell ref="C17:F17"/>
    <mergeCell ref="G47:H47"/>
    <mergeCell ref="G48:H48"/>
    <mergeCell ref="I52:J52"/>
    <mergeCell ref="N54:O54"/>
    <mergeCell ref="N55:O55"/>
    <mergeCell ref="L55:M55"/>
    <mergeCell ref="N46:O46"/>
    <mergeCell ref="N47:O47"/>
    <mergeCell ref="N50:O50"/>
    <mergeCell ref="A26:C26"/>
    <mergeCell ref="A11:B11"/>
    <mergeCell ref="A12:B12"/>
    <mergeCell ref="G9:K9"/>
    <mergeCell ref="G10:K10"/>
    <mergeCell ref="G15:K15"/>
    <mergeCell ref="G12:K12"/>
    <mergeCell ref="C13:F13"/>
    <mergeCell ref="A10:B10"/>
    <mergeCell ref="G54:H54"/>
    <mergeCell ref="G45:H45"/>
    <mergeCell ref="G51:H51"/>
    <mergeCell ref="G52:H52"/>
    <mergeCell ref="G46:H46"/>
    <mergeCell ref="A13:B13"/>
    <mergeCell ref="A14:B14"/>
    <mergeCell ref="C14:F14"/>
    <mergeCell ref="C15:F15"/>
    <mergeCell ref="I42:J42"/>
    <mergeCell ref="I43:J43"/>
    <mergeCell ref="I44:J44"/>
    <mergeCell ref="G44:H44"/>
    <mergeCell ref="G41:J41"/>
    <mergeCell ref="D52:E52"/>
    <mergeCell ref="D46:E46"/>
    <mergeCell ref="C11:F11"/>
    <mergeCell ref="C12:F12"/>
    <mergeCell ref="L10:P10"/>
    <mergeCell ref="D53:E53"/>
    <mergeCell ref="D42:E42"/>
    <mergeCell ref="N56:O56"/>
    <mergeCell ref="I53:J53"/>
    <mergeCell ref="I54:J54"/>
    <mergeCell ref="I55:J55"/>
    <mergeCell ref="L41:O41"/>
    <mergeCell ref="N53:O53"/>
    <mergeCell ref="L53:M53"/>
    <mergeCell ref="L54:M54"/>
    <mergeCell ref="L44:M44"/>
    <mergeCell ref="L14:P14"/>
    <mergeCell ref="L15:P15"/>
    <mergeCell ref="B56:C56"/>
    <mergeCell ref="L56:M56"/>
    <mergeCell ref="N43:O43"/>
    <mergeCell ref="D47:E47"/>
    <mergeCell ref="D49:E49"/>
    <mergeCell ref="D50:E50"/>
    <mergeCell ref="G50:H50"/>
    <mergeCell ref="D55:E55"/>
    <mergeCell ref="V31:Z31"/>
    <mergeCell ref="Q31:U31"/>
    <mergeCell ref="Q16:U16"/>
    <mergeCell ref="Q12:U12"/>
    <mergeCell ref="Q11:U11"/>
    <mergeCell ref="Q10:U10"/>
    <mergeCell ref="Q9:U9"/>
    <mergeCell ref="Q8:U8"/>
    <mergeCell ref="G13:K13"/>
    <mergeCell ref="L13:P13"/>
    <mergeCell ref="G17:K17"/>
    <mergeCell ref="G16:K16"/>
    <mergeCell ref="Q17:U17"/>
    <mergeCell ref="Q14:U14"/>
    <mergeCell ref="Q15:U15"/>
    <mergeCell ref="Q13:U13"/>
    <mergeCell ref="L17:P17"/>
    <mergeCell ref="L8:P8"/>
    <mergeCell ref="L9:P9"/>
    <mergeCell ref="L11:P11"/>
    <mergeCell ref="L12:P12"/>
    <mergeCell ref="G11:K11"/>
    <mergeCell ref="G8:K8"/>
    <mergeCell ref="Q42:R42"/>
    <mergeCell ref="I51:J51"/>
    <mergeCell ref="I45:J45"/>
    <mergeCell ref="I48:J48"/>
    <mergeCell ref="I46:J46"/>
    <mergeCell ref="L47:M47"/>
    <mergeCell ref="S51:T51"/>
    <mergeCell ref="Q47:R47"/>
    <mergeCell ref="N51:O51"/>
    <mergeCell ref="S42:T42"/>
    <mergeCell ref="Q51:R51"/>
    <mergeCell ref="S43:T43"/>
    <mergeCell ref="Q55:R55"/>
    <mergeCell ref="N60:O60"/>
    <mergeCell ref="N61:O61"/>
    <mergeCell ref="S53:T53"/>
    <mergeCell ref="Q54:R54"/>
    <mergeCell ref="Q53:R53"/>
    <mergeCell ref="Q52:R52"/>
    <mergeCell ref="N66:O66"/>
    <mergeCell ref="L74:M74"/>
    <mergeCell ref="L61:M61"/>
    <mergeCell ref="L73:M73"/>
    <mergeCell ref="S65:T65"/>
    <mergeCell ref="N68:O68"/>
    <mergeCell ref="L72:M72"/>
    <mergeCell ref="B57:C57"/>
    <mergeCell ref="L49:M49"/>
    <mergeCell ref="L51:M51"/>
    <mergeCell ref="L50:M50"/>
    <mergeCell ref="L48:M48"/>
    <mergeCell ref="G42:H42"/>
    <mergeCell ref="G43:H43"/>
    <mergeCell ref="G49:H49"/>
    <mergeCell ref="D51:E51"/>
    <mergeCell ref="D54:E54"/>
    <mergeCell ref="B53:C53"/>
    <mergeCell ref="B55:C55"/>
    <mergeCell ref="B54:C54"/>
    <mergeCell ref="B42:C42"/>
    <mergeCell ref="L45:M45"/>
    <mergeCell ref="B50:C50"/>
    <mergeCell ref="B51:C51"/>
    <mergeCell ref="B2:C2"/>
    <mergeCell ref="B3:C3"/>
    <mergeCell ref="B4:C4"/>
    <mergeCell ref="B5:C5"/>
    <mergeCell ref="G56:H56"/>
    <mergeCell ref="S56:T56"/>
    <mergeCell ref="S57:T57"/>
    <mergeCell ref="N57:O57"/>
    <mergeCell ref="Q57:R57"/>
    <mergeCell ref="L42:M42"/>
    <mergeCell ref="L43:M43"/>
    <mergeCell ref="I57:J57"/>
    <mergeCell ref="I49:J49"/>
    <mergeCell ref="L46:M46"/>
    <mergeCell ref="G53:H53"/>
    <mergeCell ref="D45:E45"/>
    <mergeCell ref="D48:E48"/>
    <mergeCell ref="Q49:R49"/>
    <mergeCell ref="Q41:T41"/>
    <mergeCell ref="D56:E56"/>
    <mergeCell ref="Q7:U7"/>
    <mergeCell ref="C7:F7"/>
    <mergeCell ref="C9:F9"/>
    <mergeCell ref="C10:F10"/>
    <mergeCell ref="V75:X75"/>
    <mergeCell ref="V71:X71"/>
    <mergeCell ref="Q75:R75"/>
    <mergeCell ref="V67:X67"/>
    <mergeCell ref="S73:T73"/>
    <mergeCell ref="N74:O74"/>
    <mergeCell ref="V73:X73"/>
    <mergeCell ref="N72:O72"/>
    <mergeCell ref="N71:O71"/>
    <mergeCell ref="V74:X74"/>
    <mergeCell ref="S74:T74"/>
    <mergeCell ref="Q74:R74"/>
    <mergeCell ref="N73:O73"/>
    <mergeCell ref="Q73:R73"/>
    <mergeCell ref="S75:T75"/>
    <mergeCell ref="N75:O75"/>
    <mergeCell ref="N67:O67"/>
  </mergeCells>
  <conditionalFormatting sqref="D44:D50">
    <cfRule type="cellIs" dxfId="3338" priority="2871" operator="greaterThanOrEqual">
      <formula>10</formula>
    </cfRule>
    <cfRule type="cellIs" dxfId="3337" priority="2872" operator="between">
      <formula>1</formula>
      <formula>10</formula>
    </cfRule>
    <cfRule type="cellIs" dxfId="3336" priority="2873" operator="between">
      <formula>0.1</formula>
      <formula>1</formula>
    </cfRule>
    <cfRule type="cellIs" dxfId="3335" priority="2874" operator="between">
      <formula>0.001</formula>
      <formula>0.01</formula>
    </cfRule>
    <cfRule type="cellIs" dxfId="3334" priority="2875" operator="between">
      <formula>0</formula>
      <formula>0.001</formula>
    </cfRule>
    <cfRule type="cellIs" dxfId="3333" priority="2876" operator="between">
      <formula>0.01</formula>
      <formula>0.1</formula>
    </cfRule>
  </conditionalFormatting>
  <conditionalFormatting sqref="D44:D50">
    <cfRule type="cellIs" dxfId="3332" priority="2865" operator="greaterThanOrEqual">
      <formula>10</formula>
    </cfRule>
    <cfRule type="cellIs" dxfId="3331" priority="2866" operator="between">
      <formula>1</formula>
      <formula>10</formula>
    </cfRule>
    <cfRule type="cellIs" dxfId="3330" priority="2867" operator="between">
      <formula>0.1</formula>
      <formula>1</formula>
    </cfRule>
    <cfRule type="cellIs" dxfId="3329" priority="2868" operator="between">
      <formula>0.001</formula>
      <formula>0.01</formula>
    </cfRule>
    <cfRule type="cellIs" dxfId="3328" priority="2869" operator="between">
      <formula>0</formula>
      <formula>0.001</formula>
    </cfRule>
    <cfRule type="cellIs" dxfId="3327" priority="2870" operator="between">
      <formula>0.01</formula>
      <formula>0.1</formula>
    </cfRule>
  </conditionalFormatting>
  <conditionalFormatting sqref="D44:D50">
    <cfRule type="cellIs" dxfId="3326" priority="2859" operator="greaterThanOrEqual">
      <formula>10</formula>
    </cfRule>
    <cfRule type="cellIs" dxfId="3325" priority="2860" operator="between">
      <formula>1</formula>
      <formula>10</formula>
    </cfRule>
    <cfRule type="cellIs" dxfId="3324" priority="2861" operator="between">
      <formula>0.1</formula>
      <formula>1</formula>
    </cfRule>
    <cfRule type="cellIs" dxfId="3323" priority="2862" operator="between">
      <formula>0.001</formula>
      <formula>0.01</formula>
    </cfRule>
    <cfRule type="cellIs" dxfId="3322" priority="2863" operator="between">
      <formula>0</formula>
      <formula>0.001</formula>
    </cfRule>
    <cfRule type="cellIs" dxfId="3321" priority="2864" operator="between">
      <formula>0.01</formula>
      <formula>0.1</formula>
    </cfRule>
  </conditionalFormatting>
  <conditionalFormatting sqref="D44:D50">
    <cfRule type="cellIs" dxfId="3320" priority="2853" operator="greaterThanOrEqual">
      <formula>10</formula>
    </cfRule>
    <cfRule type="cellIs" dxfId="3319" priority="2854" operator="between">
      <formula>1</formula>
      <formula>10</formula>
    </cfRule>
    <cfRule type="cellIs" dxfId="3318" priority="2855" operator="between">
      <formula>0.1</formula>
      <formula>1</formula>
    </cfRule>
    <cfRule type="cellIs" dxfId="3317" priority="2856" operator="between">
      <formula>0.001</formula>
      <formula>0.01</formula>
    </cfRule>
    <cfRule type="cellIs" dxfId="3316" priority="2857" operator="between">
      <formula>0</formula>
      <formula>0.001</formula>
    </cfRule>
    <cfRule type="cellIs" dxfId="3315" priority="2858" operator="between">
      <formula>0.01</formula>
      <formula>0.1</formula>
    </cfRule>
  </conditionalFormatting>
  <conditionalFormatting sqref="D44:D50">
    <cfRule type="cellIs" dxfId="3314" priority="2847" operator="greaterThanOrEqual">
      <formula>10</formula>
    </cfRule>
    <cfRule type="cellIs" dxfId="3313" priority="2848" operator="between">
      <formula>1</formula>
      <formula>10</formula>
    </cfRule>
    <cfRule type="cellIs" dxfId="3312" priority="2849" operator="between">
      <formula>0.1</formula>
      <formula>1</formula>
    </cfRule>
    <cfRule type="cellIs" dxfId="3311" priority="2850" operator="between">
      <formula>0.001</formula>
      <formula>0.01</formula>
    </cfRule>
    <cfRule type="cellIs" dxfId="3310" priority="2851" operator="between">
      <formula>0</formula>
      <formula>0.001</formula>
    </cfRule>
    <cfRule type="cellIs" dxfId="3309" priority="2852" operator="between">
      <formula>0.01</formula>
      <formula>0.1</formula>
    </cfRule>
  </conditionalFormatting>
  <conditionalFormatting sqref="V45 Y46:Z48 B31:Z44 B73:Z75 B49:Z71 B40:U75">
    <cfRule type="cellIs" dxfId="3308" priority="2846" operator="equal">
      <formula>0</formula>
    </cfRule>
  </conditionalFormatting>
  <conditionalFormatting sqref="D51:D52">
    <cfRule type="cellIs" dxfId="3307" priority="2840" operator="greaterThanOrEqual">
      <formula>10</formula>
    </cfRule>
    <cfRule type="cellIs" dxfId="3306" priority="2841" operator="between">
      <formula>1</formula>
      <formula>10</formula>
    </cfRule>
    <cfRule type="cellIs" dxfId="3305" priority="2842" operator="between">
      <formula>0.1</formula>
      <formula>1</formula>
    </cfRule>
    <cfRule type="cellIs" dxfId="3304" priority="2843" operator="between">
      <formula>0.001</formula>
      <formula>0.01</formula>
    </cfRule>
    <cfRule type="cellIs" dxfId="3303" priority="2844" operator="between">
      <formula>0</formula>
      <formula>0.001</formula>
    </cfRule>
    <cfRule type="cellIs" dxfId="3302" priority="2845" operator="between">
      <formula>0.01</formula>
      <formula>0.1</formula>
    </cfRule>
  </conditionalFormatting>
  <conditionalFormatting sqref="D51:D52">
    <cfRule type="cellIs" dxfId="3301" priority="2839" operator="equal">
      <formula>0</formula>
    </cfRule>
  </conditionalFormatting>
  <conditionalFormatting sqref="G49 G45">
    <cfRule type="cellIs" dxfId="3300" priority="2833" operator="greaterThanOrEqual">
      <formula>10</formula>
    </cfRule>
    <cfRule type="cellIs" dxfId="3299" priority="2834" operator="between">
      <formula>1</formula>
      <formula>10</formula>
    </cfRule>
    <cfRule type="cellIs" dxfId="3298" priority="2835" operator="between">
      <formula>0.1</formula>
      <formula>1</formula>
    </cfRule>
    <cfRule type="cellIs" dxfId="3297" priority="2836" operator="between">
      <formula>0.001</formula>
      <formula>0.01</formula>
    </cfRule>
    <cfRule type="cellIs" dxfId="3296" priority="2837" operator="between">
      <formula>0</formula>
      <formula>0.001</formula>
    </cfRule>
    <cfRule type="cellIs" dxfId="3295" priority="2838" operator="between">
      <formula>0.01</formula>
      <formula>0.1</formula>
    </cfRule>
  </conditionalFormatting>
  <conditionalFormatting sqref="G51:G52">
    <cfRule type="cellIs" dxfId="3294" priority="2827" operator="greaterThanOrEqual">
      <formula>10</formula>
    </cfRule>
    <cfRule type="cellIs" dxfId="3293" priority="2828" operator="between">
      <formula>1</formula>
      <formula>10</formula>
    </cfRule>
    <cfRule type="cellIs" dxfId="3292" priority="2829" operator="between">
      <formula>0.1</formula>
      <formula>1</formula>
    </cfRule>
    <cfRule type="cellIs" dxfId="3291" priority="2830" operator="between">
      <formula>0.001</formula>
      <formula>0.01</formula>
    </cfRule>
    <cfRule type="cellIs" dxfId="3290" priority="2831" operator="between">
      <formula>0</formula>
      <formula>0.001</formula>
    </cfRule>
    <cfRule type="cellIs" dxfId="3289" priority="2832" operator="between">
      <formula>0.01</formula>
      <formula>0.1</formula>
    </cfRule>
  </conditionalFormatting>
  <conditionalFormatting sqref="G51:H52">
    <cfRule type="cellIs" dxfId="3288" priority="2826" operator="equal">
      <formula>0</formula>
    </cfRule>
  </conditionalFormatting>
  <conditionalFormatting sqref="I49 I45">
    <cfRule type="cellIs" dxfId="3287" priority="2820" operator="greaterThanOrEqual">
      <formula>10</formula>
    </cfRule>
    <cfRule type="cellIs" dxfId="3286" priority="2821" operator="between">
      <formula>1</formula>
      <formula>10</formula>
    </cfRule>
    <cfRule type="cellIs" dxfId="3285" priority="2822" operator="between">
      <formula>0.1</formula>
      <formula>1</formula>
    </cfRule>
    <cfRule type="cellIs" dxfId="3284" priority="2823" operator="between">
      <formula>0.001</formula>
      <formula>0.01</formula>
    </cfRule>
    <cfRule type="cellIs" dxfId="3283" priority="2824" operator="between">
      <formula>0</formula>
      <formula>0.001</formula>
    </cfRule>
    <cfRule type="cellIs" dxfId="3282" priority="2825" operator="between">
      <formula>0.01</formula>
      <formula>0.1</formula>
    </cfRule>
  </conditionalFormatting>
  <conditionalFormatting sqref="I49 I45">
    <cfRule type="cellIs" dxfId="3281" priority="2814" operator="greaterThanOrEqual">
      <formula>10</formula>
    </cfRule>
    <cfRule type="cellIs" dxfId="3280" priority="2815" operator="between">
      <formula>1</formula>
      <formula>10</formula>
    </cfRule>
    <cfRule type="cellIs" dxfId="3279" priority="2816" operator="between">
      <formula>0.1</formula>
      <formula>1</formula>
    </cfRule>
    <cfRule type="cellIs" dxfId="3278" priority="2817" operator="between">
      <formula>0.001</formula>
      <formula>0.01</formula>
    </cfRule>
    <cfRule type="cellIs" dxfId="3277" priority="2818" operator="between">
      <formula>0</formula>
      <formula>0.001</formula>
    </cfRule>
    <cfRule type="cellIs" dxfId="3276" priority="2819" operator="between">
      <formula>0.01</formula>
      <formula>0.1</formula>
    </cfRule>
  </conditionalFormatting>
  <conditionalFormatting sqref="I49 I45">
    <cfRule type="cellIs" dxfId="3275" priority="2808" operator="greaterThanOrEqual">
      <formula>10</formula>
    </cfRule>
    <cfRule type="cellIs" dxfId="3274" priority="2809" operator="between">
      <formula>1</formula>
      <formula>10</formula>
    </cfRule>
    <cfRule type="cellIs" dxfId="3273" priority="2810" operator="between">
      <formula>0.1</formula>
      <formula>1</formula>
    </cfRule>
    <cfRule type="cellIs" dxfId="3272" priority="2811" operator="between">
      <formula>0.001</formula>
      <formula>0.01</formula>
    </cfRule>
    <cfRule type="cellIs" dxfId="3271" priority="2812" operator="between">
      <formula>0</formula>
      <formula>0.001</formula>
    </cfRule>
    <cfRule type="cellIs" dxfId="3270" priority="2813" operator="between">
      <formula>0.01</formula>
      <formula>0.1</formula>
    </cfRule>
  </conditionalFormatting>
  <conditionalFormatting sqref="I49 I45">
    <cfRule type="cellIs" dxfId="3269" priority="2802" operator="greaterThanOrEqual">
      <formula>10</formula>
    </cfRule>
    <cfRule type="cellIs" dxfId="3268" priority="2803" operator="between">
      <formula>1</formula>
      <formula>10</formula>
    </cfRule>
    <cfRule type="cellIs" dxfId="3267" priority="2804" operator="between">
      <formula>0.1</formula>
      <formula>1</formula>
    </cfRule>
    <cfRule type="cellIs" dxfId="3266" priority="2805" operator="between">
      <formula>0.001</formula>
      <formula>0.01</formula>
    </cfRule>
    <cfRule type="cellIs" dxfId="3265" priority="2806" operator="between">
      <formula>0</formula>
      <formula>0.001</formula>
    </cfRule>
    <cfRule type="cellIs" dxfId="3264" priority="2807" operator="between">
      <formula>0.01</formula>
      <formula>0.1</formula>
    </cfRule>
  </conditionalFormatting>
  <conditionalFormatting sqref="I49 I45">
    <cfRule type="cellIs" dxfId="3263" priority="2796" operator="greaterThanOrEqual">
      <formula>10</formula>
    </cfRule>
    <cfRule type="cellIs" dxfId="3262" priority="2797" operator="between">
      <formula>1</formula>
      <formula>10</formula>
    </cfRule>
    <cfRule type="cellIs" dxfId="3261" priority="2798" operator="between">
      <formula>0.1</formula>
      <formula>1</formula>
    </cfRule>
    <cfRule type="cellIs" dxfId="3260" priority="2799" operator="between">
      <formula>0.001</formula>
      <formula>0.01</formula>
    </cfRule>
    <cfRule type="cellIs" dxfId="3259" priority="2800" operator="between">
      <formula>0</formula>
      <formula>0.001</formula>
    </cfRule>
    <cfRule type="cellIs" dxfId="3258" priority="2801" operator="between">
      <formula>0.01</formula>
      <formula>0.1</formula>
    </cfRule>
  </conditionalFormatting>
  <conditionalFormatting sqref="I51:I52">
    <cfRule type="cellIs" dxfId="3257" priority="2790" operator="greaterThanOrEqual">
      <formula>10</formula>
    </cfRule>
    <cfRule type="cellIs" dxfId="3256" priority="2791" operator="between">
      <formula>1</formula>
      <formula>10</formula>
    </cfRule>
    <cfRule type="cellIs" dxfId="3255" priority="2792" operator="between">
      <formula>0.1</formula>
      <formula>1</formula>
    </cfRule>
    <cfRule type="cellIs" dxfId="3254" priority="2793" operator="between">
      <formula>0.001</formula>
      <formula>0.01</formula>
    </cfRule>
    <cfRule type="cellIs" dxfId="3253" priority="2794" operator="between">
      <formula>0</formula>
      <formula>0.001</formula>
    </cfRule>
    <cfRule type="cellIs" dxfId="3252" priority="2795" operator="between">
      <formula>0.01</formula>
      <formula>0.1</formula>
    </cfRule>
  </conditionalFormatting>
  <conditionalFormatting sqref="I51:I52">
    <cfRule type="cellIs" dxfId="3251" priority="2789" operator="equal">
      <formula>0</formula>
    </cfRule>
  </conditionalFormatting>
  <conditionalFormatting sqref="G46:G48">
    <cfRule type="cellIs" dxfId="3250" priority="2783" operator="greaterThanOrEqual">
      <formula>10</formula>
    </cfRule>
    <cfRule type="cellIs" dxfId="3249" priority="2784" operator="between">
      <formula>1</formula>
      <formula>10</formula>
    </cfRule>
    <cfRule type="cellIs" dxfId="3248" priority="2785" operator="between">
      <formula>0.1</formula>
      <formula>1</formula>
    </cfRule>
    <cfRule type="cellIs" dxfId="3247" priority="2786" operator="between">
      <formula>0.001</formula>
      <formula>0.01</formula>
    </cfRule>
    <cfRule type="cellIs" dxfId="3246" priority="2787" operator="between">
      <formula>0</formula>
      <formula>0.001</formula>
    </cfRule>
    <cfRule type="cellIs" dxfId="3245" priority="2788" operator="between">
      <formula>0.01</formula>
      <formula>0.1</formula>
    </cfRule>
  </conditionalFormatting>
  <conditionalFormatting sqref="G46:H48">
    <cfRule type="cellIs" dxfId="3244" priority="2782" operator="equal">
      <formula>0</formula>
    </cfRule>
  </conditionalFormatting>
  <conditionalFormatting sqref="I46:I48">
    <cfRule type="cellIs" dxfId="3243" priority="2776" operator="greaterThanOrEqual">
      <formula>10</formula>
    </cfRule>
    <cfRule type="cellIs" dxfId="3242" priority="2777" operator="between">
      <formula>1</formula>
      <formula>10</formula>
    </cfRule>
    <cfRule type="cellIs" dxfId="3241" priority="2778" operator="between">
      <formula>0.1</formula>
      <formula>1</formula>
    </cfRule>
    <cfRule type="cellIs" dxfId="3240" priority="2779" operator="between">
      <formula>0.001</formula>
      <formula>0.01</formula>
    </cfRule>
    <cfRule type="cellIs" dxfId="3239" priority="2780" operator="between">
      <formula>0</formula>
      <formula>0.001</formula>
    </cfRule>
    <cfRule type="cellIs" dxfId="3238" priority="2781" operator="between">
      <formula>0.01</formula>
      <formula>0.1</formula>
    </cfRule>
  </conditionalFormatting>
  <conditionalFormatting sqref="I46:I48">
    <cfRule type="cellIs" dxfId="3237" priority="2775" operator="equal">
      <formula>0</formula>
    </cfRule>
  </conditionalFormatting>
  <conditionalFormatting sqref="I44">
    <cfRule type="cellIs" dxfId="3236" priority="2769" operator="greaterThanOrEqual">
      <formula>10</formula>
    </cfRule>
    <cfRule type="cellIs" dxfId="3235" priority="2770" operator="between">
      <formula>1</formula>
      <formula>10</formula>
    </cfRule>
    <cfRule type="cellIs" dxfId="3234" priority="2771" operator="between">
      <formula>0.1</formula>
      <formula>1</formula>
    </cfRule>
    <cfRule type="cellIs" dxfId="3233" priority="2772" operator="between">
      <formula>0.001</formula>
      <formula>0.01</formula>
    </cfRule>
    <cfRule type="cellIs" dxfId="3232" priority="2773" operator="between">
      <formula>0</formula>
      <formula>0.001</formula>
    </cfRule>
    <cfRule type="cellIs" dxfId="3231" priority="2774" operator="between">
      <formula>0.01</formula>
      <formula>0.1</formula>
    </cfRule>
  </conditionalFormatting>
  <conditionalFormatting sqref="I44">
    <cfRule type="cellIs" dxfId="3230" priority="2768" operator="equal">
      <formula>0</formula>
    </cfRule>
  </conditionalFormatting>
  <conditionalFormatting sqref="Q75">
    <cfRule type="cellIs" dxfId="3229" priority="2762" operator="greaterThanOrEqual">
      <formula>10</formula>
    </cfRule>
    <cfRule type="cellIs" dxfId="3228" priority="2763" operator="between">
      <formula>1</formula>
      <formula>10</formula>
    </cfRule>
    <cfRule type="cellIs" dxfId="3227" priority="2764" operator="between">
      <formula>0.1</formula>
      <formula>1</formula>
    </cfRule>
    <cfRule type="cellIs" dxfId="3226" priority="2765" operator="between">
      <formula>0.001</formula>
      <formula>0.01</formula>
    </cfRule>
    <cfRule type="cellIs" dxfId="3225" priority="2766" operator="between">
      <formula>0</formula>
      <formula>0.001</formula>
    </cfRule>
    <cfRule type="cellIs" dxfId="3224" priority="2767" operator="between">
      <formula>0.01</formula>
      <formula>0.1</formula>
    </cfRule>
  </conditionalFormatting>
  <conditionalFormatting sqref="Q75:R75">
    <cfRule type="cellIs" dxfId="3223" priority="2761" operator="equal">
      <formula>0</formula>
    </cfRule>
  </conditionalFormatting>
  <conditionalFormatting sqref="S75">
    <cfRule type="cellIs" dxfId="3222" priority="2755" operator="greaterThanOrEqual">
      <formula>10</formula>
    </cfRule>
    <cfRule type="cellIs" dxfId="3221" priority="2756" operator="between">
      <formula>1</formula>
      <formula>10</formula>
    </cfRule>
    <cfRule type="cellIs" dxfId="3220" priority="2757" operator="between">
      <formula>0.1</formula>
      <formula>1</formula>
    </cfRule>
    <cfRule type="cellIs" dxfId="3219" priority="2758" operator="between">
      <formula>0.001</formula>
      <formula>0.01</formula>
    </cfRule>
    <cfRule type="cellIs" dxfId="3218" priority="2759" operator="between">
      <formula>0</formula>
      <formula>0.001</formula>
    </cfRule>
    <cfRule type="cellIs" dxfId="3217" priority="2760" operator="between">
      <formula>0.01</formula>
      <formula>0.1</formula>
    </cfRule>
  </conditionalFormatting>
  <conditionalFormatting sqref="S75">
    <cfRule type="cellIs" dxfId="3216" priority="2754" operator="equal">
      <formula>0</formula>
    </cfRule>
  </conditionalFormatting>
  <conditionalFormatting sqref="G43">
    <cfRule type="cellIs" dxfId="3215" priority="2748" operator="greaterThanOrEqual">
      <formula>10</formula>
    </cfRule>
    <cfRule type="cellIs" dxfId="3214" priority="2749" operator="between">
      <formula>1</formula>
      <formula>10</formula>
    </cfRule>
    <cfRule type="cellIs" dxfId="3213" priority="2750" operator="between">
      <formula>0.1</formula>
      <formula>1</formula>
    </cfRule>
    <cfRule type="cellIs" dxfId="3212" priority="2751" operator="between">
      <formula>0.001</formula>
      <formula>0.01</formula>
    </cfRule>
    <cfRule type="cellIs" dxfId="3211" priority="2752" operator="between">
      <formula>0</formula>
      <formula>0.001</formula>
    </cfRule>
    <cfRule type="cellIs" dxfId="3210" priority="2753" operator="between">
      <formula>0.01</formula>
      <formula>0.1</formula>
    </cfRule>
  </conditionalFormatting>
  <conditionalFormatting sqref="G43:H43">
    <cfRule type="cellIs" dxfId="3209" priority="2747" operator="equal">
      <formula>0</formula>
    </cfRule>
  </conditionalFormatting>
  <conditionalFormatting sqref="I43">
    <cfRule type="cellIs" dxfId="3208" priority="2741" operator="greaterThanOrEqual">
      <formula>10</formula>
    </cfRule>
    <cfRule type="cellIs" dxfId="3207" priority="2742" operator="between">
      <formula>1</formula>
      <formula>10</formula>
    </cfRule>
    <cfRule type="cellIs" dxfId="3206" priority="2743" operator="between">
      <formula>0.1</formula>
      <formula>1</formula>
    </cfRule>
    <cfRule type="cellIs" dxfId="3205" priority="2744" operator="between">
      <formula>0.001</formula>
      <formula>0.01</formula>
    </cfRule>
    <cfRule type="cellIs" dxfId="3204" priority="2745" operator="between">
      <formula>0</formula>
      <formula>0.001</formula>
    </cfRule>
    <cfRule type="cellIs" dxfId="3203" priority="2746" operator="between">
      <formula>0.01</formula>
      <formula>0.1</formula>
    </cfRule>
  </conditionalFormatting>
  <conditionalFormatting sqref="I43">
    <cfRule type="cellIs" dxfId="3202" priority="2740" operator="equal">
      <formula>0</formula>
    </cfRule>
  </conditionalFormatting>
  <conditionalFormatting sqref="D43">
    <cfRule type="cellIs" dxfId="3201" priority="2734" operator="greaterThanOrEqual">
      <formula>10</formula>
    </cfRule>
    <cfRule type="cellIs" dxfId="3200" priority="2735" operator="between">
      <formula>1</formula>
      <formula>10</formula>
    </cfRule>
    <cfRule type="cellIs" dxfId="3199" priority="2736" operator="between">
      <formula>0.1</formula>
      <formula>1</formula>
    </cfRule>
    <cfRule type="cellIs" dxfId="3198" priority="2737" operator="between">
      <formula>0.001</formula>
      <formula>0.01</formula>
    </cfRule>
    <cfRule type="cellIs" dxfId="3197" priority="2738" operator="between">
      <formula>0</formula>
      <formula>0.001</formula>
    </cfRule>
    <cfRule type="cellIs" dxfId="3196" priority="2739" operator="between">
      <formula>0.01</formula>
      <formula>0.1</formula>
    </cfRule>
  </conditionalFormatting>
  <conditionalFormatting sqref="D43">
    <cfRule type="cellIs" dxfId="3195" priority="2733" operator="equal">
      <formula>0</formula>
    </cfRule>
  </conditionalFormatting>
  <conditionalFormatting sqref="D50">
    <cfRule type="cellIs" dxfId="3194" priority="2727" operator="greaterThanOrEqual">
      <formula>10</formula>
    </cfRule>
    <cfRule type="cellIs" dxfId="3193" priority="2728" operator="between">
      <formula>1</formula>
      <formula>10</formula>
    </cfRule>
    <cfRule type="cellIs" dxfId="3192" priority="2729" operator="between">
      <formula>0.1</formula>
      <formula>1</formula>
    </cfRule>
    <cfRule type="cellIs" dxfId="3191" priority="2730" operator="between">
      <formula>0.001</formula>
      <formula>0.01</formula>
    </cfRule>
    <cfRule type="cellIs" dxfId="3190" priority="2731" operator="between">
      <formula>0</formula>
      <formula>0.001</formula>
    </cfRule>
    <cfRule type="cellIs" dxfId="3189" priority="2732" operator="between">
      <formula>0.01</formula>
      <formula>0.1</formula>
    </cfRule>
  </conditionalFormatting>
  <conditionalFormatting sqref="G50">
    <cfRule type="cellIs" dxfId="3188" priority="2720" operator="greaterThanOrEqual">
      <formula>10</formula>
    </cfRule>
    <cfRule type="cellIs" dxfId="3187" priority="2721" operator="between">
      <formula>1</formula>
      <formula>10</formula>
    </cfRule>
    <cfRule type="cellIs" dxfId="3186" priority="2722" operator="between">
      <formula>0.1</formula>
      <formula>1</formula>
    </cfRule>
    <cfRule type="cellIs" dxfId="3185" priority="2723" operator="between">
      <formula>0.001</formula>
      <formula>0.01</formula>
    </cfRule>
    <cfRule type="cellIs" dxfId="3184" priority="2724" operator="between">
      <formula>0</formula>
      <formula>0.001</formula>
    </cfRule>
    <cfRule type="cellIs" dxfId="3183" priority="2725" operator="between">
      <formula>0.01</formula>
      <formula>0.1</formula>
    </cfRule>
  </conditionalFormatting>
  <conditionalFormatting sqref="I50">
    <cfRule type="cellIs" dxfId="3182" priority="2714" operator="greaterThanOrEqual">
      <formula>10</formula>
    </cfRule>
    <cfRule type="cellIs" dxfId="3181" priority="2715" operator="between">
      <formula>1</formula>
      <formula>10</formula>
    </cfRule>
    <cfRule type="cellIs" dxfId="3180" priority="2716" operator="between">
      <formula>0.1</formula>
      <formula>1</formula>
    </cfRule>
    <cfRule type="cellIs" dxfId="3179" priority="2717" operator="between">
      <formula>0.001</formula>
      <formula>0.01</formula>
    </cfRule>
    <cfRule type="cellIs" dxfId="3178" priority="2718" operator="between">
      <formula>0</formula>
      <formula>0.001</formula>
    </cfRule>
    <cfRule type="cellIs" dxfId="3177" priority="2719" operator="between">
      <formula>0.01</formula>
      <formula>0.1</formula>
    </cfRule>
  </conditionalFormatting>
  <conditionalFormatting sqref="I50">
    <cfRule type="cellIs" dxfId="3176" priority="2713" operator="equal">
      <formula>0</formula>
    </cfRule>
  </conditionalFormatting>
  <conditionalFormatting sqref="G50:H50">
    <cfRule type="cellIs" dxfId="3175" priority="2712" operator="equal">
      <formula>0</formula>
    </cfRule>
  </conditionalFormatting>
  <conditionalFormatting sqref="B33:B34">
    <cfRule type="cellIs" dxfId="3174" priority="2706" operator="greaterThanOrEqual">
      <formula>10</formula>
    </cfRule>
    <cfRule type="cellIs" dxfId="3173" priority="2707" operator="between">
      <formula>1</formula>
      <formula>10</formula>
    </cfRule>
    <cfRule type="cellIs" dxfId="3172" priority="2708" operator="between">
      <formula>0.1</formula>
      <formula>1</formula>
    </cfRule>
    <cfRule type="cellIs" dxfId="3171" priority="2709" operator="between">
      <formula>0.001</formula>
      <formula>0.01</formula>
    </cfRule>
    <cfRule type="cellIs" dxfId="3170" priority="2710" operator="between">
      <formula>0</formula>
      <formula>0.001</formula>
    </cfRule>
    <cfRule type="cellIs" dxfId="3169" priority="2711" operator="between">
      <formula>0.01</formula>
      <formula>0.1</formula>
    </cfRule>
  </conditionalFormatting>
  <conditionalFormatting sqref="B33:B34">
    <cfRule type="cellIs" dxfId="3168" priority="2705" operator="equal">
      <formula>0</formula>
    </cfRule>
  </conditionalFormatting>
  <conditionalFormatting sqref="C33:D34 F33:F34">
    <cfRule type="cellIs" dxfId="3167" priority="2699" operator="greaterThanOrEqual">
      <formula>10</formula>
    </cfRule>
    <cfRule type="cellIs" dxfId="3166" priority="2700" operator="between">
      <formula>1</formula>
      <formula>10</formula>
    </cfRule>
    <cfRule type="cellIs" dxfId="3165" priority="2701" operator="between">
      <formula>0.1</formula>
      <formula>1</formula>
    </cfRule>
    <cfRule type="cellIs" dxfId="3164" priority="2702" operator="between">
      <formula>0.001</formula>
      <formula>0.01</formula>
    </cfRule>
    <cfRule type="cellIs" dxfId="3163" priority="2703" operator="between">
      <formula>0</formula>
      <formula>0.001</formula>
    </cfRule>
    <cfRule type="cellIs" dxfId="3162" priority="2704" operator="between">
      <formula>0.01</formula>
      <formula>0.1</formula>
    </cfRule>
  </conditionalFormatting>
  <conditionalFormatting sqref="F33">
    <cfRule type="cellIs" dxfId="3161" priority="2693" operator="greaterThanOrEqual">
      <formula>10</formula>
    </cfRule>
    <cfRule type="cellIs" dxfId="3160" priority="2694" operator="between">
      <formula>1</formula>
      <formula>10</formula>
    </cfRule>
    <cfRule type="cellIs" dxfId="3159" priority="2695" operator="between">
      <formula>0.1</formula>
      <formula>1</formula>
    </cfRule>
    <cfRule type="cellIs" dxfId="3158" priority="2696" operator="between">
      <formula>0.001</formula>
      <formula>0.01</formula>
    </cfRule>
    <cfRule type="cellIs" dxfId="3157" priority="2697" operator="between">
      <formula>0</formula>
      <formula>0.001</formula>
    </cfRule>
    <cfRule type="cellIs" dxfId="3156" priority="2698" operator="between">
      <formula>0.01</formula>
      <formula>0.1</formula>
    </cfRule>
  </conditionalFormatting>
  <conditionalFormatting sqref="F34">
    <cfRule type="cellIs" dxfId="3155" priority="2687" operator="greaterThanOrEqual">
      <formula>10</formula>
    </cfRule>
    <cfRule type="cellIs" dxfId="3154" priority="2688" operator="between">
      <formula>1</formula>
      <formula>10</formula>
    </cfRule>
    <cfRule type="cellIs" dxfId="3153" priority="2689" operator="between">
      <formula>0.1</formula>
      <formula>1</formula>
    </cfRule>
    <cfRule type="cellIs" dxfId="3152" priority="2690" operator="between">
      <formula>0.001</formula>
      <formula>0.01</formula>
    </cfRule>
    <cfRule type="cellIs" dxfId="3151" priority="2691" operator="between">
      <formula>0</formula>
      <formula>0.001</formula>
    </cfRule>
    <cfRule type="cellIs" dxfId="3150" priority="2692" operator="between">
      <formula>0.01</formula>
      <formula>0.1</formula>
    </cfRule>
  </conditionalFormatting>
  <conditionalFormatting sqref="C33:F34">
    <cfRule type="cellIs" dxfId="3149" priority="2681" operator="greaterThanOrEqual">
      <formula>10</formula>
    </cfRule>
    <cfRule type="cellIs" dxfId="3148" priority="2682" operator="between">
      <formula>1</formula>
      <formula>10</formula>
    </cfRule>
    <cfRule type="cellIs" dxfId="3147" priority="2683" operator="between">
      <formula>0.1</formula>
      <formula>1</formula>
    </cfRule>
    <cfRule type="cellIs" dxfId="3146" priority="2684" operator="between">
      <formula>0.001</formula>
      <formula>0.01</formula>
    </cfRule>
    <cfRule type="cellIs" dxfId="3145" priority="2685" operator="between">
      <formula>0</formula>
      <formula>0.001</formula>
    </cfRule>
    <cfRule type="cellIs" dxfId="3144" priority="2686" operator="between">
      <formula>0.01</formula>
      <formula>0.1</formula>
    </cfRule>
  </conditionalFormatting>
  <conditionalFormatting sqref="C33:F34">
    <cfRule type="cellIs" dxfId="3143" priority="2680" operator="equal">
      <formula>0</formula>
    </cfRule>
  </conditionalFormatting>
  <conditionalFormatting sqref="Q74">
    <cfRule type="cellIs" dxfId="3142" priority="2674" operator="greaterThanOrEqual">
      <formula>10</formula>
    </cfRule>
    <cfRule type="cellIs" dxfId="3141" priority="2675" operator="between">
      <formula>1</formula>
      <formula>10</formula>
    </cfRule>
    <cfRule type="cellIs" dxfId="3140" priority="2676" operator="between">
      <formula>0.1</formula>
      <formula>1</formula>
    </cfRule>
    <cfRule type="cellIs" dxfId="3139" priority="2677" operator="between">
      <formula>0.001</formula>
      <formula>0.01</formula>
    </cfRule>
    <cfRule type="cellIs" dxfId="3138" priority="2678" operator="between">
      <formula>0</formula>
      <formula>0.001</formula>
    </cfRule>
    <cfRule type="cellIs" dxfId="3137" priority="2679" operator="between">
      <formula>0.01</formula>
      <formula>0.1</formula>
    </cfRule>
  </conditionalFormatting>
  <conditionalFormatting sqref="S74">
    <cfRule type="cellIs" dxfId="3136" priority="2668" operator="greaterThanOrEqual">
      <formula>10</formula>
    </cfRule>
    <cfRule type="cellIs" dxfId="3135" priority="2669" operator="between">
      <formula>1</formula>
      <formula>10</formula>
    </cfRule>
    <cfRule type="cellIs" dxfId="3134" priority="2670" operator="between">
      <formula>0.1</formula>
      <formula>1</formula>
    </cfRule>
    <cfRule type="cellIs" dxfId="3133" priority="2671" operator="between">
      <formula>0.001</formula>
      <formula>0.01</formula>
    </cfRule>
    <cfRule type="cellIs" dxfId="3132" priority="2672" operator="between">
      <formula>0</formula>
      <formula>0.001</formula>
    </cfRule>
    <cfRule type="cellIs" dxfId="3131" priority="2673" operator="between">
      <formula>0.01</formula>
      <formula>0.1</formula>
    </cfRule>
  </conditionalFormatting>
  <conditionalFormatting sqref="S74">
    <cfRule type="cellIs" dxfId="3130" priority="2667" operator="equal">
      <formula>0</formula>
    </cfRule>
  </conditionalFormatting>
  <conditionalFormatting sqref="Q74:R74">
    <cfRule type="cellIs" dxfId="3129" priority="2666" operator="equal">
      <formula>0</formula>
    </cfRule>
  </conditionalFormatting>
  <conditionalFormatting sqref="L75">
    <cfRule type="cellIs" dxfId="3128" priority="2660" operator="greaterThanOrEqual">
      <formula>10</formula>
    </cfRule>
    <cfRule type="cellIs" dxfId="3127" priority="2661" operator="between">
      <formula>1</formula>
      <formula>10</formula>
    </cfRule>
    <cfRule type="cellIs" dxfId="3126" priority="2662" operator="between">
      <formula>0.1</formula>
      <formula>1</formula>
    </cfRule>
    <cfRule type="cellIs" dxfId="3125" priority="2663" operator="between">
      <formula>0.001</formula>
      <formula>0.01</formula>
    </cfRule>
    <cfRule type="cellIs" dxfId="3124" priority="2664" operator="between">
      <formula>0</formula>
      <formula>0.001</formula>
    </cfRule>
    <cfRule type="cellIs" dxfId="3123" priority="2665" operator="between">
      <formula>0.01</formula>
      <formula>0.1</formula>
    </cfRule>
  </conditionalFormatting>
  <conditionalFormatting sqref="L75:M75">
    <cfRule type="cellIs" dxfId="3122" priority="2659" operator="equal">
      <formula>0</formula>
    </cfRule>
  </conditionalFormatting>
  <conditionalFormatting sqref="N75">
    <cfRule type="cellIs" dxfId="3121" priority="2653" operator="greaterThanOrEqual">
      <formula>10</formula>
    </cfRule>
    <cfRule type="cellIs" dxfId="3120" priority="2654" operator="between">
      <formula>1</formula>
      <formula>10</formula>
    </cfRule>
    <cfRule type="cellIs" dxfId="3119" priority="2655" operator="between">
      <formula>0.1</formula>
      <formula>1</formula>
    </cfRule>
    <cfRule type="cellIs" dxfId="3118" priority="2656" operator="between">
      <formula>0.001</formula>
      <formula>0.01</formula>
    </cfRule>
    <cfRule type="cellIs" dxfId="3117" priority="2657" operator="between">
      <formula>0</formula>
      <formula>0.001</formula>
    </cfRule>
    <cfRule type="cellIs" dxfId="3116" priority="2658" operator="between">
      <formula>0.01</formula>
      <formula>0.1</formula>
    </cfRule>
  </conditionalFormatting>
  <conditionalFormatting sqref="N75">
    <cfRule type="cellIs" dxfId="3115" priority="2652" operator="equal">
      <formula>0</formula>
    </cfRule>
  </conditionalFormatting>
  <conditionalFormatting sqref="L74">
    <cfRule type="cellIs" dxfId="3114" priority="2646" operator="greaterThanOrEqual">
      <formula>10</formula>
    </cfRule>
    <cfRule type="cellIs" dxfId="3113" priority="2647" operator="between">
      <formula>1</formula>
      <formula>10</formula>
    </cfRule>
    <cfRule type="cellIs" dxfId="3112" priority="2648" operator="between">
      <formula>0.1</formula>
      <formula>1</formula>
    </cfRule>
    <cfRule type="cellIs" dxfId="3111" priority="2649" operator="between">
      <formula>0.001</formula>
      <formula>0.01</formula>
    </cfRule>
    <cfRule type="cellIs" dxfId="3110" priority="2650" operator="between">
      <formula>0</formula>
      <formula>0.001</formula>
    </cfRule>
    <cfRule type="cellIs" dxfId="3109" priority="2651" operator="between">
      <formula>0.01</formula>
      <formula>0.1</formula>
    </cfRule>
  </conditionalFormatting>
  <conditionalFormatting sqref="N74">
    <cfRule type="cellIs" dxfId="3108" priority="2640" operator="greaterThanOrEqual">
      <formula>10</formula>
    </cfRule>
    <cfRule type="cellIs" dxfId="3107" priority="2641" operator="between">
      <formula>1</formula>
      <formula>10</formula>
    </cfRule>
    <cfRule type="cellIs" dxfId="3106" priority="2642" operator="between">
      <formula>0.1</formula>
      <formula>1</formula>
    </cfRule>
    <cfRule type="cellIs" dxfId="3105" priority="2643" operator="between">
      <formula>0.001</formula>
      <formula>0.01</formula>
    </cfRule>
    <cfRule type="cellIs" dxfId="3104" priority="2644" operator="between">
      <formula>0</formula>
      <formula>0.001</formula>
    </cfRule>
    <cfRule type="cellIs" dxfId="3103" priority="2645" operator="between">
      <formula>0.01</formula>
      <formula>0.1</formula>
    </cfRule>
  </conditionalFormatting>
  <conditionalFormatting sqref="N74">
    <cfRule type="cellIs" dxfId="3102" priority="2639" operator="equal">
      <formula>0</formula>
    </cfRule>
  </conditionalFormatting>
  <conditionalFormatting sqref="L74:M74">
    <cfRule type="cellIs" dxfId="3101" priority="2638" operator="equal">
      <formula>0</formula>
    </cfRule>
  </conditionalFormatting>
  <conditionalFormatting sqref="V37">
    <cfRule type="cellIs" dxfId="3100" priority="2632" operator="greaterThanOrEqual">
      <formula>10</formula>
    </cfRule>
    <cfRule type="cellIs" dxfId="3099" priority="2633" operator="between">
      <formula>1</formula>
      <formula>10</formula>
    </cfRule>
    <cfRule type="cellIs" dxfId="3098" priority="2634" operator="between">
      <formula>0.1</formula>
      <formula>1</formula>
    </cfRule>
    <cfRule type="cellIs" dxfId="3097" priority="2635" operator="between">
      <formula>0.001</formula>
      <formula>0.01</formula>
    </cfRule>
    <cfRule type="cellIs" dxfId="3096" priority="2636" operator="between">
      <formula>0</formula>
      <formula>0.001</formula>
    </cfRule>
    <cfRule type="cellIs" dxfId="3095" priority="2637" operator="between">
      <formula>0.01</formula>
      <formula>0.1</formula>
    </cfRule>
  </conditionalFormatting>
  <conditionalFormatting sqref="B63:B67">
    <cfRule type="cellIs" dxfId="3094" priority="2620" operator="greaterThanOrEqual">
      <formula>10</formula>
    </cfRule>
    <cfRule type="cellIs" dxfId="3093" priority="2621" operator="between">
      <formula>1</formula>
      <formula>10</formula>
    </cfRule>
    <cfRule type="cellIs" dxfId="3092" priority="2622" operator="between">
      <formula>0.1</formula>
      <formula>1</formula>
    </cfRule>
    <cfRule type="cellIs" dxfId="3091" priority="2623" operator="between">
      <formula>0.001</formula>
      <formula>0.01</formula>
    </cfRule>
    <cfRule type="cellIs" dxfId="3090" priority="2624" operator="between">
      <formula>0</formula>
      <formula>0.001</formula>
    </cfRule>
    <cfRule type="cellIs" dxfId="3089" priority="2625" operator="between">
      <formula>0.01</formula>
      <formula>0.1</formula>
    </cfRule>
  </conditionalFormatting>
  <conditionalFormatting sqref="D63:D67">
    <cfRule type="cellIs" dxfId="3088" priority="2614" operator="greaterThanOrEqual">
      <formula>10</formula>
    </cfRule>
    <cfRule type="cellIs" dxfId="3087" priority="2615" operator="between">
      <formula>1</formula>
      <formula>10</formula>
    </cfRule>
    <cfRule type="cellIs" dxfId="3086" priority="2616" operator="between">
      <formula>0.1</formula>
      <formula>1</formula>
    </cfRule>
    <cfRule type="cellIs" dxfId="3085" priority="2617" operator="between">
      <formula>0.001</formula>
      <formula>0.01</formula>
    </cfRule>
    <cfRule type="cellIs" dxfId="3084" priority="2618" operator="between">
      <formula>0</formula>
      <formula>0.001</formula>
    </cfRule>
    <cfRule type="cellIs" dxfId="3083" priority="2619" operator="between">
      <formula>0.01</formula>
      <formula>0.1</formula>
    </cfRule>
  </conditionalFormatting>
  <conditionalFormatting sqref="D63:D67">
    <cfRule type="cellIs" dxfId="3082" priority="2608" operator="greaterThanOrEqual">
      <formula>10</formula>
    </cfRule>
    <cfRule type="cellIs" dxfId="3081" priority="2609" operator="between">
      <formula>1</formula>
      <formula>10</formula>
    </cfRule>
    <cfRule type="cellIs" dxfId="3080" priority="2610" operator="between">
      <formula>0.1</formula>
      <formula>1</formula>
    </cfRule>
    <cfRule type="cellIs" dxfId="3079" priority="2611" operator="between">
      <formula>0.001</formula>
      <formula>0.01</formula>
    </cfRule>
    <cfRule type="cellIs" dxfId="3078" priority="2612" operator="between">
      <formula>0</formula>
      <formula>0.001</formula>
    </cfRule>
    <cfRule type="cellIs" dxfId="3077" priority="2613" operator="between">
      <formula>0.01</formula>
      <formula>0.1</formula>
    </cfRule>
  </conditionalFormatting>
  <conditionalFormatting sqref="D63:D67">
    <cfRule type="cellIs" dxfId="3076" priority="2602" operator="greaterThanOrEqual">
      <formula>10</formula>
    </cfRule>
    <cfRule type="cellIs" dxfId="3075" priority="2603" operator="between">
      <formula>1</formula>
      <formula>10</formula>
    </cfRule>
    <cfRule type="cellIs" dxfId="3074" priority="2604" operator="between">
      <formula>0.1</formula>
      <formula>1</formula>
    </cfRule>
    <cfRule type="cellIs" dxfId="3073" priority="2605" operator="between">
      <formula>0.001</formula>
      <formula>0.01</formula>
    </cfRule>
    <cfRule type="cellIs" dxfId="3072" priority="2606" operator="between">
      <formula>0</formula>
      <formula>0.001</formula>
    </cfRule>
    <cfRule type="cellIs" dxfId="3071" priority="2607" operator="between">
      <formula>0.01</formula>
      <formula>0.1</formula>
    </cfRule>
  </conditionalFormatting>
  <conditionalFormatting sqref="D63:D67">
    <cfRule type="cellIs" dxfId="3070" priority="2596" operator="greaterThanOrEqual">
      <formula>10</formula>
    </cfRule>
    <cfRule type="cellIs" dxfId="3069" priority="2597" operator="between">
      <formula>1</formula>
      <formula>10</formula>
    </cfRule>
    <cfRule type="cellIs" dxfId="3068" priority="2598" operator="between">
      <formula>0.1</formula>
      <formula>1</formula>
    </cfRule>
    <cfRule type="cellIs" dxfId="3067" priority="2599" operator="between">
      <formula>0.001</formula>
      <formula>0.01</formula>
    </cfRule>
    <cfRule type="cellIs" dxfId="3066" priority="2600" operator="between">
      <formula>0</formula>
      <formula>0.001</formula>
    </cfRule>
    <cfRule type="cellIs" dxfId="3065" priority="2601" operator="between">
      <formula>0.01</formula>
      <formula>0.1</formula>
    </cfRule>
  </conditionalFormatting>
  <conditionalFormatting sqref="D63:D67">
    <cfRule type="cellIs" dxfId="3064" priority="2590" operator="greaterThanOrEqual">
      <formula>10</formula>
    </cfRule>
    <cfRule type="cellIs" dxfId="3063" priority="2591" operator="between">
      <formula>1</formula>
      <formula>10</formula>
    </cfRule>
    <cfRule type="cellIs" dxfId="3062" priority="2592" operator="between">
      <formula>0.1</formula>
      <formula>1</formula>
    </cfRule>
    <cfRule type="cellIs" dxfId="3061" priority="2593" operator="between">
      <formula>0.001</formula>
      <formula>0.01</formula>
    </cfRule>
    <cfRule type="cellIs" dxfId="3060" priority="2594" operator="between">
      <formula>0</formula>
      <formula>0.001</formula>
    </cfRule>
    <cfRule type="cellIs" dxfId="3059" priority="2595" operator="between">
      <formula>0.01</formula>
      <formula>0.1</formula>
    </cfRule>
  </conditionalFormatting>
  <conditionalFormatting sqref="G74:G75">
    <cfRule type="cellIs" dxfId="3058" priority="2570" operator="greaterThanOrEqual">
      <formula>10</formula>
    </cfRule>
    <cfRule type="cellIs" dxfId="3057" priority="2571" operator="between">
      <formula>1</formula>
      <formula>10</formula>
    </cfRule>
    <cfRule type="cellIs" dxfId="3056" priority="2572" operator="between">
      <formula>0.1</formula>
      <formula>1</formula>
    </cfRule>
    <cfRule type="cellIs" dxfId="3055" priority="2573" operator="between">
      <formula>0.001</formula>
      <formula>0.01</formula>
    </cfRule>
    <cfRule type="cellIs" dxfId="3054" priority="2574" operator="between">
      <formula>0</formula>
      <formula>0.001</formula>
    </cfRule>
    <cfRule type="cellIs" dxfId="3053" priority="2575" operator="between">
      <formula>0.01</formula>
      <formula>0.1</formula>
    </cfRule>
  </conditionalFormatting>
  <conditionalFormatting sqref="I74:I75">
    <cfRule type="cellIs" dxfId="3052" priority="2564" operator="greaterThanOrEqual">
      <formula>10</formula>
    </cfRule>
    <cfRule type="cellIs" dxfId="3051" priority="2565" operator="between">
      <formula>1</formula>
      <formula>10</formula>
    </cfRule>
    <cfRule type="cellIs" dxfId="3050" priority="2566" operator="between">
      <formula>0.1</formula>
      <formula>1</formula>
    </cfRule>
    <cfRule type="cellIs" dxfId="3049" priority="2567" operator="between">
      <formula>0.001</formula>
      <formula>0.01</formula>
    </cfRule>
    <cfRule type="cellIs" dxfId="3048" priority="2568" operator="between">
      <formula>0</formula>
      <formula>0.001</formula>
    </cfRule>
    <cfRule type="cellIs" dxfId="3047" priority="2569" operator="between">
      <formula>0.01</formula>
      <formula>0.1</formula>
    </cfRule>
  </conditionalFormatting>
  <conditionalFormatting sqref="I74:I75">
    <cfRule type="cellIs" dxfId="3046" priority="2558" operator="greaterThanOrEqual">
      <formula>10</formula>
    </cfRule>
    <cfRule type="cellIs" dxfId="3045" priority="2559" operator="between">
      <formula>1</formula>
      <formula>10</formula>
    </cfRule>
    <cfRule type="cellIs" dxfId="3044" priority="2560" operator="between">
      <formula>0.1</formula>
      <formula>1</formula>
    </cfRule>
    <cfRule type="cellIs" dxfId="3043" priority="2561" operator="between">
      <formula>0.001</formula>
      <formula>0.01</formula>
    </cfRule>
    <cfRule type="cellIs" dxfId="3042" priority="2562" operator="between">
      <formula>0</formula>
      <formula>0.001</formula>
    </cfRule>
    <cfRule type="cellIs" dxfId="3041" priority="2563" operator="between">
      <formula>0.01</formula>
      <formula>0.1</formula>
    </cfRule>
  </conditionalFormatting>
  <conditionalFormatting sqref="I74:I75">
    <cfRule type="cellIs" dxfId="3040" priority="2552" operator="greaterThanOrEqual">
      <formula>10</formula>
    </cfRule>
    <cfRule type="cellIs" dxfId="3039" priority="2553" operator="between">
      <formula>1</formula>
      <formula>10</formula>
    </cfRule>
    <cfRule type="cellIs" dxfId="3038" priority="2554" operator="between">
      <formula>0.1</formula>
      <formula>1</formula>
    </cfRule>
    <cfRule type="cellIs" dxfId="3037" priority="2555" operator="between">
      <formula>0.001</formula>
      <formula>0.01</formula>
    </cfRule>
    <cfRule type="cellIs" dxfId="3036" priority="2556" operator="between">
      <formula>0</formula>
      <formula>0.001</formula>
    </cfRule>
    <cfRule type="cellIs" dxfId="3035" priority="2557" operator="between">
      <formula>0.01</formula>
      <formula>0.1</formula>
    </cfRule>
  </conditionalFormatting>
  <conditionalFormatting sqref="I74:I75">
    <cfRule type="cellIs" dxfId="3034" priority="2546" operator="greaterThanOrEqual">
      <formula>10</formula>
    </cfRule>
    <cfRule type="cellIs" dxfId="3033" priority="2547" operator="between">
      <formula>1</formula>
      <formula>10</formula>
    </cfRule>
    <cfRule type="cellIs" dxfId="3032" priority="2548" operator="between">
      <formula>0.1</formula>
      <formula>1</formula>
    </cfRule>
    <cfRule type="cellIs" dxfId="3031" priority="2549" operator="between">
      <formula>0.001</formula>
      <formula>0.01</formula>
    </cfRule>
    <cfRule type="cellIs" dxfId="3030" priority="2550" operator="between">
      <formula>0</formula>
      <formula>0.001</formula>
    </cfRule>
    <cfRule type="cellIs" dxfId="3029" priority="2551" operator="between">
      <formula>0.01</formula>
      <formula>0.1</formula>
    </cfRule>
  </conditionalFormatting>
  <conditionalFormatting sqref="I74:I75">
    <cfRule type="cellIs" dxfId="3028" priority="2540" operator="greaterThanOrEqual">
      <formula>10</formula>
    </cfRule>
    <cfRule type="cellIs" dxfId="3027" priority="2541" operator="between">
      <formula>1</formula>
      <formula>10</formula>
    </cfRule>
    <cfRule type="cellIs" dxfId="3026" priority="2542" operator="between">
      <formula>0.1</formula>
      <formula>1</formula>
    </cfRule>
    <cfRule type="cellIs" dxfId="3025" priority="2543" operator="between">
      <formula>0.001</formula>
      <formula>0.01</formula>
    </cfRule>
    <cfRule type="cellIs" dxfId="3024" priority="2544" operator="between">
      <formula>0</formula>
      <formula>0.001</formula>
    </cfRule>
    <cfRule type="cellIs" dxfId="3023" priority="2545" operator="between">
      <formula>0.01</formula>
      <formula>0.1</formula>
    </cfRule>
  </conditionalFormatting>
  <conditionalFormatting sqref="G44">
    <cfRule type="cellIs" dxfId="3022" priority="2520" operator="greaterThanOrEqual">
      <formula>10</formula>
    </cfRule>
    <cfRule type="cellIs" dxfId="3021" priority="2521" operator="between">
      <formula>1</formula>
      <formula>10</formula>
    </cfRule>
    <cfRule type="cellIs" dxfId="3020" priority="2522" operator="between">
      <formula>0.1</formula>
      <formula>1</formula>
    </cfRule>
    <cfRule type="cellIs" dxfId="3019" priority="2523" operator="between">
      <formula>0.001</formula>
      <formula>0.01</formula>
    </cfRule>
    <cfRule type="cellIs" dxfId="3018" priority="2524" operator="between">
      <formula>0</formula>
      <formula>0.001</formula>
    </cfRule>
    <cfRule type="cellIs" dxfId="3017" priority="2525" operator="between">
      <formula>0.01</formula>
      <formula>0.1</formula>
    </cfRule>
  </conditionalFormatting>
  <conditionalFormatting sqref="G44">
    <cfRule type="cellIs" dxfId="3016" priority="2514" operator="greaterThanOrEqual">
      <formula>10</formula>
    </cfRule>
    <cfRule type="cellIs" dxfId="3015" priority="2515" operator="between">
      <formula>1</formula>
      <formula>10</formula>
    </cfRule>
    <cfRule type="cellIs" dxfId="3014" priority="2516" operator="between">
      <formula>0.1</formula>
      <formula>1</formula>
    </cfRule>
    <cfRule type="cellIs" dxfId="3013" priority="2517" operator="between">
      <formula>0.001</formula>
      <formula>0.01</formula>
    </cfRule>
    <cfRule type="cellIs" dxfId="3012" priority="2518" operator="between">
      <formula>0</formula>
      <formula>0.001</formula>
    </cfRule>
    <cfRule type="cellIs" dxfId="3011" priority="2519" operator="between">
      <formula>0.01</formula>
      <formula>0.1</formula>
    </cfRule>
  </conditionalFormatting>
  <conditionalFormatting sqref="L49">
    <cfRule type="cellIs" dxfId="3010" priority="2508" operator="greaterThanOrEqual">
      <formula>10</formula>
    </cfRule>
    <cfRule type="cellIs" dxfId="3009" priority="2509" operator="between">
      <formula>1</formula>
      <formula>10</formula>
    </cfRule>
    <cfRule type="cellIs" dxfId="3008" priority="2510" operator="between">
      <formula>0.1</formula>
      <formula>1</formula>
    </cfRule>
    <cfRule type="cellIs" dxfId="3007" priority="2511" operator="between">
      <formula>0.001</formula>
      <formula>0.01</formula>
    </cfRule>
    <cfRule type="cellIs" dxfId="3006" priority="2512" operator="between">
      <formula>0</formula>
      <formula>0.001</formula>
    </cfRule>
    <cfRule type="cellIs" dxfId="3005" priority="2513" operator="between">
      <formula>0.01</formula>
      <formula>0.1</formula>
    </cfRule>
  </conditionalFormatting>
  <conditionalFormatting sqref="L51:L52">
    <cfRule type="cellIs" dxfId="3004" priority="2502" operator="greaterThanOrEqual">
      <formula>10</formula>
    </cfRule>
    <cfRule type="cellIs" dxfId="3003" priority="2503" operator="between">
      <formula>1</formula>
      <formula>10</formula>
    </cfRule>
    <cfRule type="cellIs" dxfId="3002" priority="2504" operator="between">
      <formula>0.1</formula>
      <formula>1</formula>
    </cfRule>
    <cfRule type="cellIs" dxfId="3001" priority="2505" operator="between">
      <formula>0.001</formula>
      <formula>0.01</formula>
    </cfRule>
    <cfRule type="cellIs" dxfId="3000" priority="2506" operator="between">
      <formula>0</formula>
      <formula>0.001</formula>
    </cfRule>
    <cfRule type="cellIs" dxfId="2999" priority="2507" operator="between">
      <formula>0.01</formula>
      <formula>0.1</formula>
    </cfRule>
  </conditionalFormatting>
  <conditionalFormatting sqref="L51:M52">
    <cfRule type="cellIs" dxfId="2998" priority="2501" operator="equal">
      <formula>0</formula>
    </cfRule>
  </conditionalFormatting>
  <conditionalFormatting sqref="N49">
    <cfRule type="cellIs" dxfId="2997" priority="2495" operator="greaterThanOrEqual">
      <formula>10</formula>
    </cfRule>
    <cfRule type="cellIs" dxfId="2996" priority="2496" operator="between">
      <formula>1</formula>
      <formula>10</formula>
    </cfRule>
    <cfRule type="cellIs" dxfId="2995" priority="2497" operator="between">
      <formula>0.1</formula>
      <formula>1</formula>
    </cfRule>
    <cfRule type="cellIs" dxfId="2994" priority="2498" operator="between">
      <formula>0.001</formula>
      <formula>0.01</formula>
    </cfRule>
    <cfRule type="cellIs" dxfId="2993" priority="2499" operator="between">
      <formula>0</formula>
      <formula>0.001</formula>
    </cfRule>
    <cfRule type="cellIs" dxfId="2992" priority="2500" operator="between">
      <formula>0.01</formula>
      <formula>0.1</formula>
    </cfRule>
  </conditionalFormatting>
  <conditionalFormatting sqref="N49">
    <cfRule type="cellIs" dxfId="2991" priority="2489" operator="greaterThanOrEqual">
      <formula>10</formula>
    </cfRule>
    <cfRule type="cellIs" dxfId="2990" priority="2490" operator="between">
      <formula>1</formula>
      <formula>10</formula>
    </cfRule>
    <cfRule type="cellIs" dxfId="2989" priority="2491" operator="between">
      <formula>0.1</formula>
      <formula>1</formula>
    </cfRule>
    <cfRule type="cellIs" dxfId="2988" priority="2492" operator="between">
      <formula>0.001</formula>
      <formula>0.01</formula>
    </cfRule>
    <cfRule type="cellIs" dxfId="2987" priority="2493" operator="between">
      <formula>0</formula>
      <formula>0.001</formula>
    </cfRule>
    <cfRule type="cellIs" dxfId="2986" priority="2494" operator="between">
      <formula>0.01</formula>
      <formula>0.1</formula>
    </cfRule>
  </conditionalFormatting>
  <conditionalFormatting sqref="N49">
    <cfRule type="cellIs" dxfId="2985" priority="2483" operator="greaterThanOrEqual">
      <formula>10</formula>
    </cfRule>
    <cfRule type="cellIs" dxfId="2984" priority="2484" operator="between">
      <formula>1</formula>
      <formula>10</formula>
    </cfRule>
    <cfRule type="cellIs" dxfId="2983" priority="2485" operator="between">
      <formula>0.1</formula>
      <formula>1</formula>
    </cfRule>
    <cfRule type="cellIs" dxfId="2982" priority="2486" operator="between">
      <formula>0.001</formula>
      <formula>0.01</formula>
    </cfRule>
    <cfRule type="cellIs" dxfId="2981" priority="2487" operator="between">
      <formula>0</formula>
      <formula>0.001</formula>
    </cfRule>
    <cfRule type="cellIs" dxfId="2980" priority="2488" operator="between">
      <formula>0.01</formula>
      <formula>0.1</formula>
    </cfRule>
  </conditionalFormatting>
  <conditionalFormatting sqref="N49">
    <cfRule type="cellIs" dxfId="2979" priority="2477" operator="greaterThanOrEqual">
      <formula>10</formula>
    </cfRule>
    <cfRule type="cellIs" dxfId="2978" priority="2478" operator="between">
      <formula>1</formula>
      <formula>10</formula>
    </cfRule>
    <cfRule type="cellIs" dxfId="2977" priority="2479" operator="between">
      <formula>0.1</formula>
      <formula>1</formula>
    </cfRule>
    <cfRule type="cellIs" dxfId="2976" priority="2480" operator="between">
      <formula>0.001</formula>
      <formula>0.01</formula>
    </cfRule>
    <cfRule type="cellIs" dxfId="2975" priority="2481" operator="between">
      <formula>0</formula>
      <formula>0.001</formula>
    </cfRule>
    <cfRule type="cellIs" dxfId="2974" priority="2482" operator="between">
      <formula>0.01</formula>
      <formula>0.1</formula>
    </cfRule>
  </conditionalFormatting>
  <conditionalFormatting sqref="N49">
    <cfRule type="cellIs" dxfId="2973" priority="2471" operator="greaterThanOrEqual">
      <formula>10</formula>
    </cfRule>
    <cfRule type="cellIs" dxfId="2972" priority="2472" operator="between">
      <formula>1</formula>
      <formula>10</formula>
    </cfRule>
    <cfRule type="cellIs" dxfId="2971" priority="2473" operator="between">
      <formula>0.1</formula>
      <formula>1</formula>
    </cfRule>
    <cfRule type="cellIs" dxfId="2970" priority="2474" operator="between">
      <formula>0.001</formula>
      <formula>0.01</formula>
    </cfRule>
    <cfRule type="cellIs" dxfId="2969" priority="2475" operator="between">
      <formula>0</formula>
      <formula>0.001</formula>
    </cfRule>
    <cfRule type="cellIs" dxfId="2968" priority="2476" operator="between">
      <formula>0.01</formula>
      <formula>0.1</formula>
    </cfRule>
  </conditionalFormatting>
  <conditionalFormatting sqref="N44">
    <cfRule type="cellIs" dxfId="2967" priority="2465" operator="greaterThanOrEqual">
      <formula>10</formula>
    </cfRule>
    <cfRule type="cellIs" dxfId="2966" priority="2466" operator="between">
      <formula>1</formula>
      <formula>10</formula>
    </cfRule>
    <cfRule type="cellIs" dxfId="2965" priority="2467" operator="between">
      <formula>0.1</formula>
      <formula>1</formula>
    </cfRule>
    <cfRule type="cellIs" dxfId="2964" priority="2468" operator="between">
      <formula>0.001</formula>
      <formula>0.01</formula>
    </cfRule>
    <cfRule type="cellIs" dxfId="2963" priority="2469" operator="between">
      <formula>0</formula>
      <formula>0.001</formula>
    </cfRule>
    <cfRule type="cellIs" dxfId="2962" priority="2470" operator="between">
      <formula>0.01</formula>
      <formula>0.1</formula>
    </cfRule>
  </conditionalFormatting>
  <conditionalFormatting sqref="N44">
    <cfRule type="cellIs" dxfId="2961" priority="2464" operator="equal">
      <formula>0</formula>
    </cfRule>
  </conditionalFormatting>
  <conditionalFormatting sqref="L43">
    <cfRule type="cellIs" dxfId="2960" priority="2458" operator="greaterThanOrEqual">
      <formula>10</formula>
    </cfRule>
    <cfRule type="cellIs" dxfId="2959" priority="2459" operator="between">
      <formula>1</formula>
      <formula>10</formula>
    </cfRule>
    <cfRule type="cellIs" dxfId="2958" priority="2460" operator="between">
      <formula>0.1</formula>
      <formula>1</formula>
    </cfRule>
    <cfRule type="cellIs" dxfId="2957" priority="2461" operator="between">
      <formula>0.001</formula>
      <formula>0.01</formula>
    </cfRule>
    <cfRule type="cellIs" dxfId="2956" priority="2462" operator="between">
      <formula>0</formula>
      <formula>0.001</formula>
    </cfRule>
    <cfRule type="cellIs" dxfId="2955" priority="2463" operator="between">
      <formula>0.01</formula>
      <formula>0.1</formula>
    </cfRule>
  </conditionalFormatting>
  <conditionalFormatting sqref="L43:M43">
    <cfRule type="cellIs" dxfId="2954" priority="2457" operator="equal">
      <formula>0</formula>
    </cfRule>
  </conditionalFormatting>
  <conditionalFormatting sqref="N43">
    <cfRule type="cellIs" dxfId="2953" priority="2451" operator="greaterThanOrEqual">
      <formula>10</formula>
    </cfRule>
    <cfRule type="cellIs" dxfId="2952" priority="2452" operator="between">
      <formula>1</formula>
      <formula>10</formula>
    </cfRule>
    <cfRule type="cellIs" dxfId="2951" priority="2453" operator="between">
      <formula>0.1</formula>
      <formula>1</formula>
    </cfRule>
    <cfRule type="cellIs" dxfId="2950" priority="2454" operator="between">
      <formula>0.001</formula>
      <formula>0.01</formula>
    </cfRule>
    <cfRule type="cellIs" dxfId="2949" priority="2455" operator="between">
      <formula>0</formula>
      <formula>0.001</formula>
    </cfRule>
    <cfRule type="cellIs" dxfId="2948" priority="2456" operator="between">
      <formula>0.01</formula>
      <formula>0.1</formula>
    </cfRule>
  </conditionalFormatting>
  <conditionalFormatting sqref="N43">
    <cfRule type="cellIs" dxfId="2947" priority="2450" operator="equal">
      <formula>0</formula>
    </cfRule>
  </conditionalFormatting>
  <conditionalFormatting sqref="L50">
    <cfRule type="cellIs" dxfId="2946" priority="2444" operator="greaterThanOrEqual">
      <formula>10</formula>
    </cfRule>
    <cfRule type="cellIs" dxfId="2945" priority="2445" operator="between">
      <formula>1</formula>
      <formula>10</formula>
    </cfRule>
    <cfRule type="cellIs" dxfId="2944" priority="2446" operator="between">
      <formula>0.1</formula>
      <formula>1</formula>
    </cfRule>
    <cfRule type="cellIs" dxfId="2943" priority="2447" operator="between">
      <formula>0.001</formula>
      <formula>0.01</formula>
    </cfRule>
    <cfRule type="cellIs" dxfId="2942" priority="2448" operator="between">
      <formula>0</formula>
      <formula>0.001</formula>
    </cfRule>
    <cfRule type="cellIs" dxfId="2941" priority="2449" operator="between">
      <formula>0.01</formula>
      <formula>0.1</formula>
    </cfRule>
  </conditionalFormatting>
  <conditionalFormatting sqref="L50:M50">
    <cfRule type="cellIs" dxfId="2940" priority="2443" operator="equal">
      <formula>0</formula>
    </cfRule>
  </conditionalFormatting>
  <conditionalFormatting sqref="L44">
    <cfRule type="cellIs" dxfId="2939" priority="2437" operator="greaterThanOrEqual">
      <formula>10</formula>
    </cfRule>
    <cfRule type="cellIs" dxfId="2938" priority="2438" operator="between">
      <formula>1</formula>
      <formula>10</formula>
    </cfRule>
    <cfRule type="cellIs" dxfId="2937" priority="2439" operator="between">
      <formula>0.1</formula>
      <formula>1</formula>
    </cfRule>
    <cfRule type="cellIs" dxfId="2936" priority="2440" operator="between">
      <formula>0.001</formula>
      <formula>0.01</formula>
    </cfRule>
    <cfRule type="cellIs" dxfId="2935" priority="2441" operator="between">
      <formula>0</formula>
      <formula>0.001</formula>
    </cfRule>
    <cfRule type="cellIs" dxfId="2934" priority="2442" operator="between">
      <formula>0.01</formula>
      <formula>0.1</formula>
    </cfRule>
  </conditionalFormatting>
  <conditionalFormatting sqref="L44">
    <cfRule type="cellIs" dxfId="2933" priority="2431" operator="greaterThanOrEqual">
      <formula>10</formula>
    </cfRule>
    <cfRule type="cellIs" dxfId="2932" priority="2432" operator="between">
      <formula>1</formula>
      <formula>10</formula>
    </cfRule>
    <cfRule type="cellIs" dxfId="2931" priority="2433" operator="between">
      <formula>0.1</formula>
      <formula>1</formula>
    </cfRule>
    <cfRule type="cellIs" dxfId="2930" priority="2434" operator="between">
      <formula>0.001</formula>
      <formula>0.01</formula>
    </cfRule>
    <cfRule type="cellIs" dxfId="2929" priority="2435" operator="between">
      <formula>0</formula>
      <formula>0.001</formula>
    </cfRule>
    <cfRule type="cellIs" dxfId="2928" priority="2436" operator="between">
      <formula>0.01</formula>
      <formula>0.1</formula>
    </cfRule>
  </conditionalFormatting>
  <conditionalFormatting sqref="Q49">
    <cfRule type="cellIs" dxfId="2927" priority="2425" operator="greaterThanOrEqual">
      <formula>10</formula>
    </cfRule>
    <cfRule type="cellIs" dxfId="2926" priority="2426" operator="between">
      <formula>1</formula>
      <formula>10</formula>
    </cfRule>
    <cfRule type="cellIs" dxfId="2925" priority="2427" operator="between">
      <formula>0.1</formula>
      <formula>1</formula>
    </cfRule>
    <cfRule type="cellIs" dxfId="2924" priority="2428" operator="between">
      <formula>0.001</formula>
      <formula>0.01</formula>
    </cfRule>
    <cfRule type="cellIs" dxfId="2923" priority="2429" operator="between">
      <formula>0</formula>
      <formula>0.001</formula>
    </cfRule>
    <cfRule type="cellIs" dxfId="2922" priority="2430" operator="between">
      <formula>0.01</formula>
      <formula>0.1</formula>
    </cfRule>
  </conditionalFormatting>
  <conditionalFormatting sqref="Q51:Q52">
    <cfRule type="cellIs" dxfId="2921" priority="2419" operator="greaterThanOrEqual">
      <formula>10</formula>
    </cfRule>
    <cfRule type="cellIs" dxfId="2920" priority="2420" operator="between">
      <formula>1</formula>
      <formula>10</formula>
    </cfRule>
    <cfRule type="cellIs" dxfId="2919" priority="2421" operator="between">
      <formula>0.1</formula>
      <formula>1</formula>
    </cfRule>
    <cfRule type="cellIs" dxfId="2918" priority="2422" operator="between">
      <formula>0.001</formula>
      <formula>0.01</formula>
    </cfRule>
    <cfRule type="cellIs" dxfId="2917" priority="2423" operator="between">
      <formula>0</formula>
      <formula>0.001</formula>
    </cfRule>
    <cfRule type="cellIs" dxfId="2916" priority="2424" operator="between">
      <formula>0.01</formula>
      <formula>0.1</formula>
    </cfRule>
  </conditionalFormatting>
  <conditionalFormatting sqref="Q51:R52">
    <cfRule type="cellIs" dxfId="2915" priority="2418" operator="equal">
      <formula>0</formula>
    </cfRule>
  </conditionalFormatting>
  <conditionalFormatting sqref="S49">
    <cfRule type="cellIs" dxfId="2914" priority="2412" operator="greaterThanOrEqual">
      <formula>10</formula>
    </cfRule>
    <cfRule type="cellIs" dxfId="2913" priority="2413" operator="between">
      <formula>1</formula>
      <formula>10</formula>
    </cfRule>
    <cfRule type="cellIs" dxfId="2912" priority="2414" operator="between">
      <formula>0.1</formula>
      <formula>1</formula>
    </cfRule>
    <cfRule type="cellIs" dxfId="2911" priority="2415" operator="between">
      <formula>0.001</formula>
      <formula>0.01</formula>
    </cfRule>
    <cfRule type="cellIs" dxfId="2910" priority="2416" operator="between">
      <formula>0</formula>
      <formula>0.001</formula>
    </cfRule>
    <cfRule type="cellIs" dxfId="2909" priority="2417" operator="between">
      <formula>0.01</formula>
      <formula>0.1</formula>
    </cfRule>
  </conditionalFormatting>
  <conditionalFormatting sqref="S49">
    <cfRule type="cellIs" dxfId="2908" priority="2406" operator="greaterThanOrEqual">
      <formula>10</formula>
    </cfRule>
    <cfRule type="cellIs" dxfId="2907" priority="2407" operator="between">
      <formula>1</formula>
      <formula>10</formula>
    </cfRule>
    <cfRule type="cellIs" dxfId="2906" priority="2408" operator="between">
      <formula>0.1</formula>
      <formula>1</formula>
    </cfRule>
    <cfRule type="cellIs" dxfId="2905" priority="2409" operator="between">
      <formula>0.001</formula>
      <formula>0.01</formula>
    </cfRule>
    <cfRule type="cellIs" dxfId="2904" priority="2410" operator="between">
      <formula>0</formula>
      <formula>0.001</formula>
    </cfRule>
    <cfRule type="cellIs" dxfId="2903" priority="2411" operator="between">
      <formula>0.01</formula>
      <formula>0.1</formula>
    </cfRule>
  </conditionalFormatting>
  <conditionalFormatting sqref="S49">
    <cfRule type="cellIs" dxfId="2902" priority="2400" operator="greaterThanOrEqual">
      <formula>10</formula>
    </cfRule>
    <cfRule type="cellIs" dxfId="2901" priority="2401" operator="between">
      <formula>1</formula>
      <formula>10</formula>
    </cfRule>
    <cfRule type="cellIs" dxfId="2900" priority="2402" operator="between">
      <formula>0.1</formula>
      <formula>1</formula>
    </cfRule>
    <cfRule type="cellIs" dxfId="2899" priority="2403" operator="between">
      <formula>0.001</formula>
      <formula>0.01</formula>
    </cfRule>
    <cfRule type="cellIs" dxfId="2898" priority="2404" operator="between">
      <formula>0</formula>
      <formula>0.001</formula>
    </cfRule>
    <cfRule type="cellIs" dxfId="2897" priority="2405" operator="between">
      <formula>0.01</formula>
      <formula>0.1</formula>
    </cfRule>
  </conditionalFormatting>
  <conditionalFormatting sqref="S49">
    <cfRule type="cellIs" dxfId="2896" priority="2394" operator="greaterThanOrEqual">
      <formula>10</formula>
    </cfRule>
    <cfRule type="cellIs" dxfId="2895" priority="2395" operator="between">
      <formula>1</formula>
      <formula>10</formula>
    </cfRule>
    <cfRule type="cellIs" dxfId="2894" priority="2396" operator="between">
      <formula>0.1</formula>
      <formula>1</formula>
    </cfRule>
    <cfRule type="cellIs" dxfId="2893" priority="2397" operator="between">
      <formula>0.001</formula>
      <formula>0.01</formula>
    </cfRule>
    <cfRule type="cellIs" dxfId="2892" priority="2398" operator="between">
      <formula>0</formula>
      <formula>0.001</formula>
    </cfRule>
    <cfRule type="cellIs" dxfId="2891" priority="2399" operator="between">
      <formula>0.01</formula>
      <formula>0.1</formula>
    </cfRule>
  </conditionalFormatting>
  <conditionalFormatting sqref="S49">
    <cfRule type="cellIs" dxfId="2890" priority="2388" operator="greaterThanOrEqual">
      <formula>10</formula>
    </cfRule>
    <cfRule type="cellIs" dxfId="2889" priority="2389" operator="between">
      <formula>1</formula>
      <formula>10</formula>
    </cfRule>
    <cfRule type="cellIs" dxfId="2888" priority="2390" operator="between">
      <formula>0.1</formula>
      <formula>1</formula>
    </cfRule>
    <cfRule type="cellIs" dxfId="2887" priority="2391" operator="between">
      <formula>0.001</formula>
      <formula>0.01</formula>
    </cfRule>
    <cfRule type="cellIs" dxfId="2886" priority="2392" operator="between">
      <formula>0</formula>
      <formula>0.001</formula>
    </cfRule>
    <cfRule type="cellIs" dxfId="2885" priority="2393" operator="between">
      <formula>0.01</formula>
      <formula>0.1</formula>
    </cfRule>
  </conditionalFormatting>
  <conditionalFormatting sqref="S44">
    <cfRule type="cellIs" dxfId="2884" priority="2382" operator="greaterThanOrEqual">
      <formula>10</formula>
    </cfRule>
    <cfRule type="cellIs" dxfId="2883" priority="2383" operator="between">
      <formula>1</formula>
      <formula>10</formula>
    </cfRule>
    <cfRule type="cellIs" dxfId="2882" priority="2384" operator="between">
      <formula>0.1</formula>
      <formula>1</formula>
    </cfRule>
    <cfRule type="cellIs" dxfId="2881" priority="2385" operator="between">
      <formula>0.001</formula>
      <formula>0.01</formula>
    </cfRule>
    <cfRule type="cellIs" dxfId="2880" priority="2386" operator="between">
      <formula>0</formula>
      <formula>0.001</formula>
    </cfRule>
    <cfRule type="cellIs" dxfId="2879" priority="2387" operator="between">
      <formula>0.01</formula>
      <formula>0.1</formula>
    </cfRule>
  </conditionalFormatting>
  <conditionalFormatting sqref="S44">
    <cfRule type="cellIs" dxfId="2878" priority="2381" operator="equal">
      <formula>0</formula>
    </cfRule>
  </conditionalFormatting>
  <conditionalFormatting sqref="Q43">
    <cfRule type="cellIs" dxfId="2877" priority="2375" operator="greaterThanOrEqual">
      <formula>10</formula>
    </cfRule>
    <cfRule type="cellIs" dxfId="2876" priority="2376" operator="between">
      <formula>1</formula>
      <formula>10</formula>
    </cfRule>
    <cfRule type="cellIs" dxfId="2875" priority="2377" operator="between">
      <formula>0.1</formula>
      <formula>1</formula>
    </cfRule>
    <cfRule type="cellIs" dxfId="2874" priority="2378" operator="between">
      <formula>0.001</formula>
      <formula>0.01</formula>
    </cfRule>
    <cfRule type="cellIs" dxfId="2873" priority="2379" operator="between">
      <formula>0</formula>
      <formula>0.001</formula>
    </cfRule>
    <cfRule type="cellIs" dxfId="2872" priority="2380" operator="between">
      <formula>0.01</formula>
      <formula>0.1</formula>
    </cfRule>
  </conditionalFormatting>
  <conditionalFormatting sqref="Q43:R43">
    <cfRule type="cellIs" dxfId="2871" priority="2374" operator="equal">
      <formula>0</formula>
    </cfRule>
  </conditionalFormatting>
  <conditionalFormatting sqref="S43">
    <cfRule type="cellIs" dxfId="2870" priority="2368" operator="greaterThanOrEqual">
      <formula>10</formula>
    </cfRule>
    <cfRule type="cellIs" dxfId="2869" priority="2369" operator="between">
      <formula>1</formula>
      <formula>10</formula>
    </cfRule>
    <cfRule type="cellIs" dxfId="2868" priority="2370" operator="between">
      <formula>0.1</formula>
      <formula>1</formula>
    </cfRule>
    <cfRule type="cellIs" dxfId="2867" priority="2371" operator="between">
      <formula>0.001</formula>
      <formula>0.01</formula>
    </cfRule>
    <cfRule type="cellIs" dxfId="2866" priority="2372" operator="between">
      <formula>0</formula>
      <formula>0.001</formula>
    </cfRule>
    <cfRule type="cellIs" dxfId="2865" priority="2373" operator="between">
      <formula>0.01</formula>
      <formula>0.1</formula>
    </cfRule>
  </conditionalFormatting>
  <conditionalFormatting sqref="S43">
    <cfRule type="cellIs" dxfId="2864" priority="2367" operator="equal">
      <formula>0</formula>
    </cfRule>
  </conditionalFormatting>
  <conditionalFormatting sqref="Q50">
    <cfRule type="cellIs" dxfId="2863" priority="2361" operator="greaterThanOrEqual">
      <formula>10</formula>
    </cfRule>
    <cfRule type="cellIs" dxfId="2862" priority="2362" operator="between">
      <formula>1</formula>
      <formula>10</formula>
    </cfRule>
    <cfRule type="cellIs" dxfId="2861" priority="2363" operator="between">
      <formula>0.1</formula>
      <formula>1</formula>
    </cfRule>
    <cfRule type="cellIs" dxfId="2860" priority="2364" operator="between">
      <formula>0.001</formula>
      <formula>0.01</formula>
    </cfRule>
    <cfRule type="cellIs" dxfId="2859" priority="2365" operator="between">
      <formula>0</formula>
      <formula>0.001</formula>
    </cfRule>
    <cfRule type="cellIs" dxfId="2858" priority="2366" operator="between">
      <formula>0.01</formula>
      <formula>0.1</formula>
    </cfRule>
  </conditionalFormatting>
  <conditionalFormatting sqref="Q50:R50">
    <cfRule type="cellIs" dxfId="2857" priority="2360" operator="equal">
      <formula>0</formula>
    </cfRule>
  </conditionalFormatting>
  <conditionalFormatting sqref="Q44">
    <cfRule type="cellIs" dxfId="2856" priority="2354" operator="greaterThanOrEqual">
      <formula>10</formula>
    </cfRule>
    <cfRule type="cellIs" dxfId="2855" priority="2355" operator="between">
      <formula>1</formula>
      <formula>10</formula>
    </cfRule>
    <cfRule type="cellIs" dxfId="2854" priority="2356" operator="between">
      <formula>0.1</formula>
      <formula>1</formula>
    </cfRule>
    <cfRule type="cellIs" dxfId="2853" priority="2357" operator="between">
      <formula>0.001</formula>
      <formula>0.01</formula>
    </cfRule>
    <cfRule type="cellIs" dxfId="2852" priority="2358" operator="between">
      <formula>0</formula>
      <formula>0.001</formula>
    </cfRule>
    <cfRule type="cellIs" dxfId="2851" priority="2359" operator="between">
      <formula>0.01</formula>
      <formula>0.1</formula>
    </cfRule>
  </conditionalFormatting>
  <conditionalFormatting sqref="Q44">
    <cfRule type="cellIs" dxfId="2850" priority="2348" operator="greaterThanOrEqual">
      <formula>10</formula>
    </cfRule>
    <cfRule type="cellIs" dxfId="2849" priority="2349" operator="between">
      <formula>1</formula>
      <formula>10</formula>
    </cfRule>
    <cfRule type="cellIs" dxfId="2848" priority="2350" operator="between">
      <formula>0.1</formula>
      <formula>1</formula>
    </cfRule>
    <cfRule type="cellIs" dxfId="2847" priority="2351" operator="between">
      <formula>0.001</formula>
      <formula>0.01</formula>
    </cfRule>
    <cfRule type="cellIs" dxfId="2846" priority="2352" operator="between">
      <formula>0</formula>
      <formula>0.001</formula>
    </cfRule>
    <cfRule type="cellIs" dxfId="2845" priority="2353" operator="between">
      <formula>0.01</formula>
      <formula>0.1</formula>
    </cfRule>
  </conditionalFormatting>
  <conditionalFormatting sqref="N50:N52">
    <cfRule type="cellIs" dxfId="2844" priority="2342" operator="greaterThanOrEqual">
      <formula>10</formula>
    </cfRule>
    <cfRule type="cellIs" dxfId="2843" priority="2343" operator="between">
      <formula>1</formula>
      <formula>10</formula>
    </cfRule>
    <cfRule type="cellIs" dxfId="2842" priority="2344" operator="between">
      <formula>0.1</formula>
      <formula>1</formula>
    </cfRule>
    <cfRule type="cellIs" dxfId="2841" priority="2345" operator="between">
      <formula>0.001</formula>
      <formula>0.01</formula>
    </cfRule>
    <cfRule type="cellIs" dxfId="2840" priority="2346" operator="between">
      <formula>0</formula>
      <formula>0.001</formula>
    </cfRule>
    <cfRule type="cellIs" dxfId="2839" priority="2347" operator="between">
      <formula>0.01</formula>
      <formula>0.1</formula>
    </cfRule>
  </conditionalFormatting>
  <conditionalFormatting sqref="N50:N52">
    <cfRule type="cellIs" dxfId="2838" priority="2341" operator="equal">
      <formula>0</formula>
    </cfRule>
  </conditionalFormatting>
  <conditionalFormatting sqref="N50">
    <cfRule type="cellIs" dxfId="2837" priority="2335" operator="greaterThanOrEqual">
      <formula>10</formula>
    </cfRule>
    <cfRule type="cellIs" dxfId="2836" priority="2336" operator="between">
      <formula>1</formula>
      <formula>10</formula>
    </cfRule>
    <cfRule type="cellIs" dxfId="2835" priority="2337" operator="between">
      <formula>0.1</formula>
      <formula>1</formula>
    </cfRule>
    <cfRule type="cellIs" dxfId="2834" priority="2338" operator="between">
      <formula>0.001</formula>
      <formula>0.01</formula>
    </cfRule>
    <cfRule type="cellIs" dxfId="2833" priority="2339" operator="between">
      <formula>0</formula>
      <formula>0.001</formula>
    </cfRule>
    <cfRule type="cellIs" dxfId="2832" priority="2340" operator="between">
      <formula>0.01</formula>
      <formula>0.1</formula>
    </cfRule>
  </conditionalFormatting>
  <conditionalFormatting sqref="N50">
    <cfRule type="cellIs" dxfId="2831" priority="2334" operator="equal">
      <formula>0</formula>
    </cfRule>
  </conditionalFormatting>
  <conditionalFormatting sqref="S51:S52">
    <cfRule type="cellIs" dxfId="2830" priority="2328" operator="greaterThanOrEqual">
      <formula>10</formula>
    </cfRule>
    <cfRule type="cellIs" dxfId="2829" priority="2329" operator="between">
      <formula>1</formula>
      <formula>10</formula>
    </cfRule>
    <cfRule type="cellIs" dxfId="2828" priority="2330" operator="between">
      <formula>0.1</formula>
      <formula>1</formula>
    </cfRule>
    <cfRule type="cellIs" dxfId="2827" priority="2331" operator="between">
      <formula>0.001</formula>
      <formula>0.01</formula>
    </cfRule>
    <cfRule type="cellIs" dxfId="2826" priority="2332" operator="between">
      <formula>0</formula>
      <formula>0.001</formula>
    </cfRule>
    <cfRule type="cellIs" dxfId="2825" priority="2333" operator="between">
      <formula>0.01</formula>
      <formula>0.1</formula>
    </cfRule>
  </conditionalFormatting>
  <conditionalFormatting sqref="S51:S52">
    <cfRule type="cellIs" dxfId="2824" priority="2327" operator="equal">
      <formula>0</formula>
    </cfRule>
  </conditionalFormatting>
  <conditionalFormatting sqref="S50">
    <cfRule type="cellIs" dxfId="2823" priority="2321" operator="greaterThanOrEqual">
      <formula>10</formula>
    </cfRule>
    <cfRule type="cellIs" dxfId="2822" priority="2322" operator="between">
      <formula>1</formula>
      <formula>10</formula>
    </cfRule>
    <cfRule type="cellIs" dxfId="2821" priority="2323" operator="between">
      <formula>0.1</formula>
      <formula>1</formula>
    </cfRule>
    <cfRule type="cellIs" dxfId="2820" priority="2324" operator="between">
      <formula>0.001</formula>
      <formula>0.01</formula>
    </cfRule>
    <cfRule type="cellIs" dxfId="2819" priority="2325" operator="between">
      <formula>0</formula>
      <formula>0.001</formula>
    </cfRule>
    <cfRule type="cellIs" dxfId="2818" priority="2326" operator="between">
      <formula>0.01</formula>
      <formula>0.1</formula>
    </cfRule>
  </conditionalFormatting>
  <conditionalFormatting sqref="S50">
    <cfRule type="cellIs" dxfId="2817" priority="2320" operator="equal">
      <formula>0</formula>
    </cfRule>
  </conditionalFormatting>
  <conditionalFormatting sqref="Q63:Q70">
    <cfRule type="cellIs" dxfId="2816" priority="2314" operator="greaterThanOrEqual">
      <formula>10</formula>
    </cfRule>
    <cfRule type="cellIs" dxfId="2815" priority="2315" operator="between">
      <formula>1</formula>
      <formula>10</formula>
    </cfRule>
    <cfRule type="cellIs" dxfId="2814" priority="2316" operator="between">
      <formula>0.1</formula>
      <formula>1</formula>
    </cfRule>
    <cfRule type="cellIs" dxfId="2813" priority="2317" operator="between">
      <formula>0.001</formula>
      <formula>0.01</formula>
    </cfRule>
    <cfRule type="cellIs" dxfId="2812" priority="2318" operator="between">
      <formula>0</formula>
      <formula>0.001</formula>
    </cfRule>
    <cfRule type="cellIs" dxfId="2811" priority="2319" operator="between">
      <formula>0.01</formula>
      <formula>0.1</formula>
    </cfRule>
  </conditionalFormatting>
  <conditionalFormatting sqref="Q63:R70">
    <cfRule type="cellIs" dxfId="2810" priority="2313" operator="equal">
      <formula>0</formula>
    </cfRule>
  </conditionalFormatting>
  <conditionalFormatting sqref="S63:S70">
    <cfRule type="cellIs" dxfId="2809" priority="2307" operator="greaterThanOrEqual">
      <formula>10</formula>
    </cfRule>
    <cfRule type="cellIs" dxfId="2808" priority="2308" operator="between">
      <formula>1</formula>
      <formula>10</formula>
    </cfRule>
    <cfRule type="cellIs" dxfId="2807" priority="2309" operator="between">
      <formula>0.1</formula>
      <formula>1</formula>
    </cfRule>
    <cfRule type="cellIs" dxfId="2806" priority="2310" operator="between">
      <formula>0.001</formula>
      <formula>0.01</formula>
    </cfRule>
    <cfRule type="cellIs" dxfId="2805" priority="2311" operator="between">
      <formula>0</formula>
      <formula>0.001</formula>
    </cfRule>
    <cfRule type="cellIs" dxfId="2804" priority="2312" operator="between">
      <formula>0.01</formula>
      <formula>0.1</formula>
    </cfRule>
  </conditionalFormatting>
  <conditionalFormatting sqref="S63:S70">
    <cfRule type="cellIs" dxfId="2803" priority="2306" operator="equal">
      <formula>0</formula>
    </cfRule>
  </conditionalFormatting>
  <conditionalFormatting sqref="L63:L70">
    <cfRule type="cellIs" dxfId="2802" priority="2300" operator="greaterThanOrEqual">
      <formula>10</formula>
    </cfRule>
    <cfRule type="cellIs" dxfId="2801" priority="2301" operator="between">
      <formula>1</formula>
      <formula>10</formula>
    </cfRule>
    <cfRule type="cellIs" dxfId="2800" priority="2302" operator="between">
      <formula>0.1</formula>
      <formula>1</formula>
    </cfRule>
    <cfRule type="cellIs" dxfId="2799" priority="2303" operator="between">
      <formula>0.001</formula>
      <formula>0.01</formula>
    </cfRule>
    <cfRule type="cellIs" dxfId="2798" priority="2304" operator="between">
      <formula>0</formula>
      <formula>0.001</formula>
    </cfRule>
    <cfRule type="cellIs" dxfId="2797" priority="2305" operator="between">
      <formula>0.01</formula>
      <formula>0.1</formula>
    </cfRule>
  </conditionalFormatting>
  <conditionalFormatting sqref="L63:M70">
    <cfRule type="cellIs" dxfId="2796" priority="2299" operator="equal">
      <formula>0</formula>
    </cfRule>
  </conditionalFormatting>
  <conditionalFormatting sqref="N63:N70">
    <cfRule type="cellIs" dxfId="2795" priority="2293" operator="greaterThanOrEqual">
      <formula>10</formula>
    </cfRule>
    <cfRule type="cellIs" dxfId="2794" priority="2294" operator="between">
      <formula>1</formula>
      <formula>10</formula>
    </cfRule>
    <cfRule type="cellIs" dxfId="2793" priority="2295" operator="between">
      <formula>0.1</formula>
      <formula>1</formula>
    </cfRule>
    <cfRule type="cellIs" dxfId="2792" priority="2296" operator="between">
      <formula>0.001</formula>
      <formula>0.01</formula>
    </cfRule>
    <cfRule type="cellIs" dxfId="2791" priority="2297" operator="between">
      <formula>0</formula>
      <formula>0.001</formula>
    </cfRule>
    <cfRule type="cellIs" dxfId="2790" priority="2298" operator="between">
      <formula>0.01</formula>
      <formula>0.1</formula>
    </cfRule>
  </conditionalFormatting>
  <conditionalFormatting sqref="N63:N70">
    <cfRule type="cellIs" dxfId="2789" priority="2292" operator="equal">
      <formula>0</formula>
    </cfRule>
  </conditionalFormatting>
  <conditionalFormatting sqref="G63:G70">
    <cfRule type="cellIs" dxfId="2788" priority="2286" operator="greaterThanOrEqual">
      <formula>10</formula>
    </cfRule>
    <cfRule type="cellIs" dxfId="2787" priority="2287" operator="between">
      <formula>1</formula>
      <formula>10</formula>
    </cfRule>
    <cfRule type="cellIs" dxfId="2786" priority="2288" operator="between">
      <formula>0.1</formula>
      <formula>1</formula>
    </cfRule>
    <cfRule type="cellIs" dxfId="2785" priority="2289" operator="between">
      <formula>0.001</formula>
      <formula>0.01</formula>
    </cfRule>
    <cfRule type="cellIs" dxfId="2784" priority="2290" operator="between">
      <formula>0</formula>
      <formula>0.001</formula>
    </cfRule>
    <cfRule type="cellIs" dxfId="2783" priority="2291" operator="between">
      <formula>0.01</formula>
      <formula>0.1</formula>
    </cfRule>
  </conditionalFormatting>
  <conditionalFormatting sqref="G63:H70">
    <cfRule type="cellIs" dxfId="2782" priority="2285" operator="equal">
      <formula>0</formula>
    </cfRule>
  </conditionalFormatting>
  <conditionalFormatting sqref="I63:I70">
    <cfRule type="cellIs" dxfId="2781" priority="2279" operator="greaterThanOrEqual">
      <formula>10</formula>
    </cfRule>
    <cfRule type="cellIs" dxfId="2780" priority="2280" operator="between">
      <formula>1</formula>
      <formula>10</formula>
    </cfRule>
    <cfRule type="cellIs" dxfId="2779" priority="2281" operator="between">
      <formula>0.1</formula>
      <formula>1</formula>
    </cfRule>
    <cfRule type="cellIs" dxfId="2778" priority="2282" operator="between">
      <formula>0.001</formula>
      <formula>0.01</formula>
    </cfRule>
    <cfRule type="cellIs" dxfId="2777" priority="2283" operator="between">
      <formula>0</formula>
      <formula>0.001</formula>
    </cfRule>
    <cfRule type="cellIs" dxfId="2776" priority="2284" operator="between">
      <formula>0.01</formula>
      <formula>0.1</formula>
    </cfRule>
  </conditionalFormatting>
  <conditionalFormatting sqref="I63:I70">
    <cfRule type="cellIs" dxfId="2775" priority="2278" operator="equal">
      <formula>0</formula>
    </cfRule>
  </conditionalFormatting>
  <conditionalFormatting sqref="S73">
    <cfRule type="cellIs" dxfId="2774" priority="2272" operator="greaterThanOrEqual">
      <formula>10</formula>
    </cfRule>
    <cfRule type="cellIs" dxfId="2773" priority="2273" operator="between">
      <formula>1</formula>
      <formula>10</formula>
    </cfRule>
    <cfRule type="cellIs" dxfId="2772" priority="2274" operator="between">
      <formula>0.1</formula>
      <formula>1</formula>
    </cfRule>
    <cfRule type="cellIs" dxfId="2771" priority="2275" operator="between">
      <formula>0.001</formula>
      <formula>0.01</formula>
    </cfRule>
    <cfRule type="cellIs" dxfId="2770" priority="2276" operator="between">
      <formula>0</formula>
      <formula>0.001</formula>
    </cfRule>
    <cfRule type="cellIs" dxfId="2769" priority="2277" operator="between">
      <formula>0.01</formula>
      <formula>0.1</formula>
    </cfRule>
  </conditionalFormatting>
  <conditionalFormatting sqref="S73">
    <cfRule type="cellIs" dxfId="2768" priority="2271" operator="equal">
      <formula>0</formula>
    </cfRule>
  </conditionalFormatting>
  <conditionalFormatting sqref="N73">
    <cfRule type="cellIs" dxfId="2767" priority="2265" operator="greaterThanOrEqual">
      <formula>10</formula>
    </cfRule>
    <cfRule type="cellIs" dxfId="2766" priority="2266" operator="between">
      <formula>1</formula>
      <formula>10</formula>
    </cfRule>
    <cfRule type="cellIs" dxfId="2765" priority="2267" operator="between">
      <formula>0.1</formula>
      <formula>1</formula>
    </cfRule>
    <cfRule type="cellIs" dxfId="2764" priority="2268" operator="between">
      <formula>0.001</formula>
      <formula>0.01</formula>
    </cfRule>
    <cfRule type="cellIs" dxfId="2763" priority="2269" operator="between">
      <formula>0</formula>
      <formula>0.001</formula>
    </cfRule>
    <cfRule type="cellIs" dxfId="2762" priority="2270" operator="between">
      <formula>0.01</formula>
      <formula>0.1</formula>
    </cfRule>
  </conditionalFormatting>
  <conditionalFormatting sqref="N73">
    <cfRule type="cellIs" dxfId="2761" priority="2264" operator="equal">
      <formula>0</formula>
    </cfRule>
  </conditionalFormatting>
  <conditionalFormatting sqref="I73">
    <cfRule type="cellIs" dxfId="2760" priority="2258" operator="greaterThanOrEqual">
      <formula>10</formula>
    </cfRule>
    <cfRule type="cellIs" dxfId="2759" priority="2259" operator="between">
      <formula>1</formula>
      <formula>10</formula>
    </cfRule>
    <cfRule type="cellIs" dxfId="2758" priority="2260" operator="between">
      <formula>0.1</formula>
      <formula>1</formula>
    </cfRule>
    <cfRule type="cellIs" dxfId="2757" priority="2261" operator="between">
      <formula>0.001</formula>
      <formula>0.01</formula>
    </cfRule>
    <cfRule type="cellIs" dxfId="2756" priority="2262" operator="between">
      <formula>0</formula>
      <formula>0.001</formula>
    </cfRule>
    <cfRule type="cellIs" dxfId="2755" priority="2263" operator="between">
      <formula>0.01</formula>
      <formula>0.1</formula>
    </cfRule>
  </conditionalFormatting>
  <conditionalFormatting sqref="I73">
    <cfRule type="cellIs" dxfId="2754" priority="2252" operator="greaterThanOrEqual">
      <formula>10</formula>
    </cfRule>
    <cfRule type="cellIs" dxfId="2753" priority="2253" operator="between">
      <formula>1</formula>
      <formula>10</formula>
    </cfRule>
    <cfRule type="cellIs" dxfId="2752" priority="2254" operator="between">
      <formula>0.1</formula>
      <formula>1</formula>
    </cfRule>
    <cfRule type="cellIs" dxfId="2751" priority="2255" operator="between">
      <formula>0.001</formula>
      <formula>0.01</formula>
    </cfRule>
    <cfRule type="cellIs" dxfId="2750" priority="2256" operator="between">
      <formula>0</formula>
      <formula>0.001</formula>
    </cfRule>
    <cfRule type="cellIs" dxfId="2749" priority="2257" operator="between">
      <formula>0.01</formula>
      <formula>0.1</formula>
    </cfRule>
  </conditionalFormatting>
  <conditionalFormatting sqref="I73">
    <cfRule type="cellIs" dxfId="2748" priority="2246" operator="greaterThanOrEqual">
      <formula>10</formula>
    </cfRule>
    <cfRule type="cellIs" dxfId="2747" priority="2247" operator="between">
      <formula>1</formula>
      <formula>10</formula>
    </cfRule>
    <cfRule type="cellIs" dxfId="2746" priority="2248" operator="between">
      <formula>0.1</formula>
      <formula>1</formula>
    </cfRule>
    <cfRule type="cellIs" dxfId="2745" priority="2249" operator="between">
      <formula>0.001</formula>
      <formula>0.01</formula>
    </cfRule>
    <cfRule type="cellIs" dxfId="2744" priority="2250" operator="between">
      <formula>0</formula>
      <formula>0.001</formula>
    </cfRule>
    <cfRule type="cellIs" dxfId="2743" priority="2251" operator="between">
      <formula>0.01</formula>
      <formula>0.1</formula>
    </cfRule>
  </conditionalFormatting>
  <conditionalFormatting sqref="I73">
    <cfRule type="cellIs" dxfId="2742" priority="2240" operator="greaterThanOrEqual">
      <formula>10</formula>
    </cfRule>
    <cfRule type="cellIs" dxfId="2741" priority="2241" operator="between">
      <formula>1</formula>
      <formula>10</formula>
    </cfRule>
    <cfRule type="cellIs" dxfId="2740" priority="2242" operator="between">
      <formula>0.1</formula>
      <formula>1</formula>
    </cfRule>
    <cfRule type="cellIs" dxfId="2739" priority="2243" operator="between">
      <formula>0.001</formula>
      <formula>0.01</formula>
    </cfRule>
    <cfRule type="cellIs" dxfId="2738" priority="2244" operator="between">
      <formula>0</formula>
      <formula>0.001</formula>
    </cfRule>
    <cfRule type="cellIs" dxfId="2737" priority="2245" operator="between">
      <formula>0.01</formula>
      <formula>0.1</formula>
    </cfRule>
  </conditionalFormatting>
  <conditionalFormatting sqref="I73">
    <cfRule type="cellIs" dxfId="2736" priority="2234" operator="greaterThanOrEqual">
      <formula>10</formula>
    </cfRule>
    <cfRule type="cellIs" dxfId="2735" priority="2235" operator="between">
      <formula>1</formula>
      <formula>10</formula>
    </cfRule>
    <cfRule type="cellIs" dxfId="2734" priority="2236" operator="between">
      <formula>0.1</formula>
      <formula>1</formula>
    </cfRule>
    <cfRule type="cellIs" dxfId="2733" priority="2237" operator="between">
      <formula>0.001</formula>
      <formula>0.01</formula>
    </cfRule>
    <cfRule type="cellIs" dxfId="2732" priority="2238" operator="between">
      <formula>0</formula>
      <formula>0.001</formula>
    </cfRule>
    <cfRule type="cellIs" dxfId="2731" priority="2239" operator="between">
      <formula>0.01</formula>
      <formula>0.1</formula>
    </cfRule>
  </conditionalFormatting>
  <conditionalFormatting sqref="G73">
    <cfRule type="cellIs" dxfId="2730" priority="2228" operator="greaterThanOrEqual">
      <formula>10</formula>
    </cfRule>
    <cfRule type="cellIs" dxfId="2729" priority="2229" operator="between">
      <formula>1</formula>
      <formula>10</formula>
    </cfRule>
    <cfRule type="cellIs" dxfId="2728" priority="2230" operator="between">
      <formula>0.1</formula>
      <formula>1</formula>
    </cfRule>
    <cfRule type="cellIs" dxfId="2727" priority="2231" operator="between">
      <formula>0.001</formula>
      <formula>0.01</formula>
    </cfRule>
    <cfRule type="cellIs" dxfId="2726" priority="2232" operator="between">
      <formula>0</formula>
      <formula>0.001</formula>
    </cfRule>
    <cfRule type="cellIs" dxfId="2725" priority="2233" operator="between">
      <formula>0.01</formula>
      <formula>0.1</formula>
    </cfRule>
  </conditionalFormatting>
  <conditionalFormatting sqref="G73">
    <cfRule type="cellIs" dxfId="2724" priority="2222" operator="greaterThanOrEqual">
      <formula>10</formula>
    </cfRule>
    <cfRule type="cellIs" dxfId="2723" priority="2223" operator="between">
      <formula>1</formula>
      <formula>10</formula>
    </cfRule>
    <cfRule type="cellIs" dxfId="2722" priority="2224" operator="between">
      <formula>0.1</formula>
      <formula>1</formula>
    </cfRule>
    <cfRule type="cellIs" dxfId="2721" priority="2225" operator="between">
      <formula>0.001</formula>
      <formula>0.01</formula>
    </cfRule>
    <cfRule type="cellIs" dxfId="2720" priority="2226" operator="between">
      <formula>0</formula>
      <formula>0.001</formula>
    </cfRule>
    <cfRule type="cellIs" dxfId="2719" priority="2227" operator="between">
      <formula>0.01</formula>
      <formula>0.1</formula>
    </cfRule>
  </conditionalFormatting>
  <conditionalFormatting sqref="L73">
    <cfRule type="cellIs" dxfId="2718" priority="2216" operator="greaterThanOrEqual">
      <formula>10</formula>
    </cfRule>
    <cfRule type="cellIs" dxfId="2717" priority="2217" operator="between">
      <formula>1</formula>
      <formula>10</formula>
    </cfRule>
    <cfRule type="cellIs" dxfId="2716" priority="2218" operator="between">
      <formula>0.1</formula>
      <formula>1</formula>
    </cfRule>
    <cfRule type="cellIs" dxfId="2715" priority="2219" operator="between">
      <formula>0.001</formula>
      <formula>0.01</formula>
    </cfRule>
    <cfRule type="cellIs" dxfId="2714" priority="2220" operator="between">
      <formula>0</formula>
      <formula>0.001</formula>
    </cfRule>
    <cfRule type="cellIs" dxfId="2713" priority="2221" operator="between">
      <formula>0.01</formula>
      <formula>0.1</formula>
    </cfRule>
  </conditionalFormatting>
  <conditionalFormatting sqref="L73">
    <cfRule type="cellIs" dxfId="2712" priority="2210" operator="greaterThanOrEqual">
      <formula>10</formula>
    </cfRule>
    <cfRule type="cellIs" dxfId="2711" priority="2211" operator="between">
      <formula>1</formula>
      <formula>10</formula>
    </cfRule>
    <cfRule type="cellIs" dxfId="2710" priority="2212" operator="between">
      <formula>0.1</formula>
      <formula>1</formula>
    </cfRule>
    <cfRule type="cellIs" dxfId="2709" priority="2213" operator="between">
      <formula>0.001</formula>
      <formula>0.01</formula>
    </cfRule>
    <cfRule type="cellIs" dxfId="2708" priority="2214" operator="between">
      <formula>0</formula>
      <formula>0.001</formula>
    </cfRule>
    <cfRule type="cellIs" dxfId="2707" priority="2215" operator="between">
      <formula>0.01</formula>
      <formula>0.1</formula>
    </cfRule>
  </conditionalFormatting>
  <conditionalFormatting sqref="Q73">
    <cfRule type="cellIs" dxfId="2706" priority="2204" operator="greaterThanOrEqual">
      <formula>10</formula>
    </cfRule>
    <cfRule type="cellIs" dxfId="2705" priority="2205" operator="between">
      <formula>1</formula>
      <formula>10</formula>
    </cfRule>
    <cfRule type="cellIs" dxfId="2704" priority="2206" operator="between">
      <formula>0.1</formula>
      <formula>1</formula>
    </cfRule>
    <cfRule type="cellIs" dxfId="2703" priority="2207" operator="between">
      <formula>0.001</formula>
      <formula>0.01</formula>
    </cfRule>
    <cfRule type="cellIs" dxfId="2702" priority="2208" operator="between">
      <formula>0</formula>
      <formula>0.001</formula>
    </cfRule>
    <cfRule type="cellIs" dxfId="2701" priority="2209" operator="between">
      <formula>0.01</formula>
      <formula>0.1</formula>
    </cfRule>
  </conditionalFormatting>
  <conditionalFormatting sqref="Q73">
    <cfRule type="cellIs" dxfId="2700" priority="2198" operator="greaterThanOrEqual">
      <formula>10</formula>
    </cfRule>
    <cfRule type="cellIs" dxfId="2699" priority="2199" operator="between">
      <formula>1</formula>
      <formula>10</formula>
    </cfRule>
    <cfRule type="cellIs" dxfId="2698" priority="2200" operator="between">
      <formula>0.1</formula>
      <formula>1</formula>
    </cfRule>
    <cfRule type="cellIs" dxfId="2697" priority="2201" operator="between">
      <formula>0.001</formula>
      <formula>0.01</formula>
    </cfRule>
    <cfRule type="cellIs" dxfId="2696" priority="2202" operator="between">
      <formula>0</formula>
      <formula>0.001</formula>
    </cfRule>
    <cfRule type="cellIs" dxfId="2695" priority="2203" operator="between">
      <formula>0.01</formula>
      <formula>0.1</formula>
    </cfRule>
  </conditionalFormatting>
  <conditionalFormatting sqref="B62">
    <cfRule type="cellIs" dxfId="2694" priority="2192" operator="greaterThanOrEqual">
      <formula>10</formula>
    </cfRule>
    <cfRule type="cellIs" dxfId="2693" priority="2193" operator="between">
      <formula>1</formula>
      <formula>10</formula>
    </cfRule>
    <cfRule type="cellIs" dxfId="2692" priority="2194" operator="between">
      <formula>0.1</formula>
      <formula>1</formula>
    </cfRule>
    <cfRule type="cellIs" dxfId="2691" priority="2195" operator="between">
      <formula>0.001</formula>
      <formula>0.01</formula>
    </cfRule>
    <cfRule type="cellIs" dxfId="2690" priority="2196" operator="between">
      <formula>0</formula>
      <formula>0.001</formula>
    </cfRule>
    <cfRule type="cellIs" dxfId="2689" priority="2197" operator="between">
      <formula>0.01</formula>
      <formula>0.1</formula>
    </cfRule>
  </conditionalFormatting>
  <conditionalFormatting sqref="B62">
    <cfRule type="cellIs" dxfId="2688" priority="2186" operator="greaterThanOrEqual">
      <formula>10</formula>
    </cfRule>
    <cfRule type="cellIs" dxfId="2687" priority="2187" operator="between">
      <formula>1</formula>
      <formula>10</formula>
    </cfRule>
    <cfRule type="cellIs" dxfId="2686" priority="2188" operator="between">
      <formula>0.1</formula>
      <formula>1</formula>
    </cfRule>
    <cfRule type="cellIs" dxfId="2685" priority="2189" operator="between">
      <formula>0.001</formula>
      <formula>0.01</formula>
    </cfRule>
    <cfRule type="cellIs" dxfId="2684" priority="2190" operator="between">
      <formula>0</formula>
      <formula>0.001</formula>
    </cfRule>
    <cfRule type="cellIs" dxfId="2683" priority="2191" operator="between">
      <formula>0.01</formula>
      <formula>0.1</formula>
    </cfRule>
  </conditionalFormatting>
  <conditionalFormatting sqref="D62">
    <cfRule type="cellIs" dxfId="2682" priority="2180" operator="greaterThanOrEqual">
      <formula>10</formula>
    </cfRule>
    <cfRule type="cellIs" dxfId="2681" priority="2181" operator="between">
      <formula>1</formula>
      <formula>10</formula>
    </cfRule>
    <cfRule type="cellIs" dxfId="2680" priority="2182" operator="between">
      <formula>0.1</formula>
      <formula>1</formula>
    </cfRule>
    <cfRule type="cellIs" dxfId="2679" priority="2183" operator="between">
      <formula>0.001</formula>
      <formula>0.01</formula>
    </cfRule>
    <cfRule type="cellIs" dxfId="2678" priority="2184" operator="between">
      <formula>0</formula>
      <formula>0.001</formula>
    </cfRule>
    <cfRule type="cellIs" dxfId="2677" priority="2185" operator="between">
      <formula>0.01</formula>
      <formula>0.1</formula>
    </cfRule>
  </conditionalFormatting>
  <conditionalFormatting sqref="D62">
    <cfRule type="cellIs" dxfId="2676" priority="2174" operator="greaterThanOrEqual">
      <formula>10</formula>
    </cfRule>
    <cfRule type="cellIs" dxfId="2675" priority="2175" operator="between">
      <formula>1</formula>
      <formula>10</formula>
    </cfRule>
    <cfRule type="cellIs" dxfId="2674" priority="2176" operator="between">
      <formula>0.1</formula>
      <formula>1</formula>
    </cfRule>
    <cfRule type="cellIs" dxfId="2673" priority="2177" operator="between">
      <formula>0.001</formula>
      <formula>0.01</formula>
    </cfRule>
    <cfRule type="cellIs" dxfId="2672" priority="2178" operator="between">
      <formula>0</formula>
      <formula>0.001</formula>
    </cfRule>
    <cfRule type="cellIs" dxfId="2671" priority="2179" operator="between">
      <formula>0.01</formula>
      <formula>0.1</formula>
    </cfRule>
  </conditionalFormatting>
  <conditionalFormatting sqref="D62">
    <cfRule type="cellIs" dxfId="2670" priority="2168" operator="greaterThanOrEqual">
      <formula>10</formula>
    </cfRule>
    <cfRule type="cellIs" dxfId="2669" priority="2169" operator="between">
      <formula>1</formula>
      <formula>10</formula>
    </cfRule>
    <cfRule type="cellIs" dxfId="2668" priority="2170" operator="between">
      <formula>0.1</formula>
      <formula>1</formula>
    </cfRule>
    <cfRule type="cellIs" dxfId="2667" priority="2171" operator="between">
      <formula>0.001</formula>
      <formula>0.01</formula>
    </cfRule>
    <cfRule type="cellIs" dxfId="2666" priority="2172" operator="between">
      <formula>0</formula>
      <formula>0.001</formula>
    </cfRule>
    <cfRule type="cellIs" dxfId="2665" priority="2173" operator="between">
      <formula>0.01</formula>
      <formula>0.1</formula>
    </cfRule>
  </conditionalFormatting>
  <conditionalFormatting sqref="D62">
    <cfRule type="cellIs" dxfId="2664" priority="2162" operator="greaterThanOrEqual">
      <formula>10</formula>
    </cfRule>
    <cfRule type="cellIs" dxfId="2663" priority="2163" operator="between">
      <formula>1</formula>
      <formula>10</formula>
    </cfRule>
    <cfRule type="cellIs" dxfId="2662" priority="2164" operator="between">
      <formula>0.1</formula>
      <formula>1</formula>
    </cfRule>
    <cfRule type="cellIs" dxfId="2661" priority="2165" operator="between">
      <formula>0.001</formula>
      <formula>0.01</formula>
    </cfRule>
    <cfRule type="cellIs" dxfId="2660" priority="2166" operator="between">
      <formula>0</formula>
      <formula>0.001</formula>
    </cfRule>
    <cfRule type="cellIs" dxfId="2659" priority="2167" operator="between">
      <formula>0.01</formula>
      <formula>0.1</formula>
    </cfRule>
  </conditionalFormatting>
  <conditionalFormatting sqref="D62">
    <cfRule type="cellIs" dxfId="2658" priority="2156" operator="greaterThanOrEqual">
      <formula>10</formula>
    </cfRule>
    <cfRule type="cellIs" dxfId="2657" priority="2157" operator="between">
      <formula>1</formula>
      <formula>10</formula>
    </cfRule>
    <cfRule type="cellIs" dxfId="2656" priority="2158" operator="between">
      <formula>0.1</formula>
      <formula>1</formula>
    </cfRule>
    <cfRule type="cellIs" dxfId="2655" priority="2159" operator="between">
      <formula>0.001</formula>
      <formula>0.01</formula>
    </cfRule>
    <cfRule type="cellIs" dxfId="2654" priority="2160" operator="between">
      <formula>0</formula>
      <formula>0.001</formula>
    </cfRule>
    <cfRule type="cellIs" dxfId="2653" priority="2161" operator="between">
      <formula>0.01</formula>
      <formula>0.1</formula>
    </cfRule>
  </conditionalFormatting>
  <conditionalFormatting sqref="I62">
    <cfRule type="cellIs" dxfId="2652" priority="2150" operator="greaterThanOrEqual">
      <formula>10</formula>
    </cfRule>
    <cfRule type="cellIs" dxfId="2651" priority="2151" operator="between">
      <formula>1</formula>
      <formula>10</formula>
    </cfRule>
    <cfRule type="cellIs" dxfId="2650" priority="2152" operator="between">
      <formula>0.1</formula>
      <formula>1</formula>
    </cfRule>
    <cfRule type="cellIs" dxfId="2649" priority="2153" operator="between">
      <formula>0.001</formula>
      <formula>0.01</formula>
    </cfRule>
    <cfRule type="cellIs" dxfId="2648" priority="2154" operator="between">
      <formula>0</formula>
      <formula>0.001</formula>
    </cfRule>
    <cfRule type="cellIs" dxfId="2647" priority="2155" operator="between">
      <formula>0.01</formula>
      <formula>0.1</formula>
    </cfRule>
  </conditionalFormatting>
  <conditionalFormatting sqref="I62">
    <cfRule type="cellIs" dxfId="2646" priority="2149" operator="equal">
      <formula>0</formula>
    </cfRule>
  </conditionalFormatting>
  <conditionalFormatting sqref="G62">
    <cfRule type="cellIs" dxfId="2645" priority="2143" operator="greaterThanOrEqual">
      <formula>10</formula>
    </cfRule>
    <cfRule type="cellIs" dxfId="2644" priority="2144" operator="between">
      <formula>1</formula>
      <formula>10</formula>
    </cfRule>
    <cfRule type="cellIs" dxfId="2643" priority="2145" operator="between">
      <formula>0.1</formula>
      <formula>1</formula>
    </cfRule>
    <cfRule type="cellIs" dxfId="2642" priority="2146" operator="between">
      <formula>0.001</formula>
      <formula>0.01</formula>
    </cfRule>
    <cfRule type="cellIs" dxfId="2641" priority="2147" operator="between">
      <formula>0</formula>
      <formula>0.001</formula>
    </cfRule>
    <cfRule type="cellIs" dxfId="2640" priority="2148" operator="between">
      <formula>0.01</formula>
      <formula>0.1</formula>
    </cfRule>
  </conditionalFormatting>
  <conditionalFormatting sqref="G62">
    <cfRule type="cellIs" dxfId="2639" priority="2137" operator="greaterThanOrEqual">
      <formula>10</formula>
    </cfRule>
    <cfRule type="cellIs" dxfId="2638" priority="2138" operator="between">
      <formula>1</formula>
      <formula>10</formula>
    </cfRule>
    <cfRule type="cellIs" dxfId="2637" priority="2139" operator="between">
      <formula>0.1</formula>
      <formula>1</formula>
    </cfRule>
    <cfRule type="cellIs" dxfId="2636" priority="2140" operator="between">
      <formula>0.001</formula>
      <formula>0.01</formula>
    </cfRule>
    <cfRule type="cellIs" dxfId="2635" priority="2141" operator="between">
      <formula>0</formula>
      <formula>0.001</formula>
    </cfRule>
    <cfRule type="cellIs" dxfId="2634" priority="2142" operator="between">
      <formula>0.01</formula>
      <formula>0.1</formula>
    </cfRule>
  </conditionalFormatting>
  <conditionalFormatting sqref="N62">
    <cfRule type="cellIs" dxfId="2633" priority="2131" operator="greaterThanOrEqual">
      <formula>10</formula>
    </cfRule>
    <cfRule type="cellIs" dxfId="2632" priority="2132" operator="between">
      <formula>1</formula>
      <formula>10</formula>
    </cfRule>
    <cfRule type="cellIs" dxfId="2631" priority="2133" operator="between">
      <formula>0.1</formula>
      <formula>1</formula>
    </cfRule>
    <cfRule type="cellIs" dxfId="2630" priority="2134" operator="between">
      <formula>0.001</formula>
      <formula>0.01</formula>
    </cfRule>
    <cfRule type="cellIs" dxfId="2629" priority="2135" operator="between">
      <formula>0</formula>
      <formula>0.001</formula>
    </cfRule>
    <cfRule type="cellIs" dxfId="2628" priority="2136" operator="between">
      <formula>0.01</formula>
      <formula>0.1</formula>
    </cfRule>
  </conditionalFormatting>
  <conditionalFormatting sqref="N62">
    <cfRule type="cellIs" dxfId="2627" priority="2130" operator="equal">
      <formula>0</formula>
    </cfRule>
  </conditionalFormatting>
  <conditionalFormatting sqref="L62">
    <cfRule type="cellIs" dxfId="2626" priority="2124" operator="greaterThanOrEqual">
      <formula>10</formula>
    </cfRule>
    <cfRule type="cellIs" dxfId="2625" priority="2125" operator="between">
      <formula>1</formula>
      <formula>10</formula>
    </cfRule>
    <cfRule type="cellIs" dxfId="2624" priority="2126" operator="between">
      <formula>0.1</formula>
      <formula>1</formula>
    </cfRule>
    <cfRule type="cellIs" dxfId="2623" priority="2127" operator="between">
      <formula>0.001</formula>
      <formula>0.01</formula>
    </cfRule>
    <cfRule type="cellIs" dxfId="2622" priority="2128" operator="between">
      <formula>0</formula>
      <formula>0.001</formula>
    </cfRule>
    <cfRule type="cellIs" dxfId="2621" priority="2129" operator="between">
      <formula>0.01</formula>
      <formula>0.1</formula>
    </cfRule>
  </conditionalFormatting>
  <conditionalFormatting sqref="L62">
    <cfRule type="cellIs" dxfId="2620" priority="2118" operator="greaterThanOrEqual">
      <formula>10</formula>
    </cfRule>
    <cfRule type="cellIs" dxfId="2619" priority="2119" operator="between">
      <formula>1</formula>
      <formula>10</formula>
    </cfRule>
    <cfRule type="cellIs" dxfId="2618" priority="2120" operator="between">
      <formula>0.1</formula>
      <formula>1</formula>
    </cfRule>
    <cfRule type="cellIs" dxfId="2617" priority="2121" operator="between">
      <formula>0.001</formula>
      <formula>0.01</formula>
    </cfRule>
    <cfRule type="cellIs" dxfId="2616" priority="2122" operator="between">
      <formula>0</formula>
      <formula>0.001</formula>
    </cfRule>
    <cfRule type="cellIs" dxfId="2615" priority="2123" operator="between">
      <formula>0.01</formula>
      <formula>0.1</formula>
    </cfRule>
  </conditionalFormatting>
  <conditionalFormatting sqref="S62">
    <cfRule type="cellIs" dxfId="2614" priority="2112" operator="greaterThanOrEqual">
      <formula>10</formula>
    </cfRule>
    <cfRule type="cellIs" dxfId="2613" priority="2113" operator="between">
      <formula>1</formula>
      <formula>10</formula>
    </cfRule>
    <cfRule type="cellIs" dxfId="2612" priority="2114" operator="between">
      <formula>0.1</formula>
      <formula>1</formula>
    </cfRule>
    <cfRule type="cellIs" dxfId="2611" priority="2115" operator="between">
      <formula>0.001</formula>
      <formula>0.01</formula>
    </cfRule>
    <cfRule type="cellIs" dxfId="2610" priority="2116" operator="between">
      <formula>0</formula>
      <formula>0.001</formula>
    </cfRule>
    <cfRule type="cellIs" dxfId="2609" priority="2117" operator="between">
      <formula>0.01</formula>
      <formula>0.1</formula>
    </cfRule>
  </conditionalFormatting>
  <conditionalFormatting sqref="S62">
    <cfRule type="cellIs" dxfId="2608" priority="2111" operator="equal">
      <formula>0</formula>
    </cfRule>
  </conditionalFormatting>
  <conditionalFormatting sqref="Q62">
    <cfRule type="cellIs" dxfId="2607" priority="2105" operator="greaterThanOrEqual">
      <formula>10</formula>
    </cfRule>
    <cfRule type="cellIs" dxfId="2606" priority="2106" operator="between">
      <formula>1</formula>
      <formula>10</formula>
    </cfRule>
    <cfRule type="cellIs" dxfId="2605" priority="2107" operator="between">
      <formula>0.1</formula>
      <formula>1</formula>
    </cfRule>
    <cfRule type="cellIs" dxfId="2604" priority="2108" operator="between">
      <formula>0.001</formula>
      <formula>0.01</formula>
    </cfRule>
    <cfRule type="cellIs" dxfId="2603" priority="2109" operator="between">
      <formula>0</formula>
      <formula>0.001</formula>
    </cfRule>
    <cfRule type="cellIs" dxfId="2602" priority="2110" operator="between">
      <formula>0.01</formula>
      <formula>0.1</formula>
    </cfRule>
  </conditionalFormatting>
  <conditionalFormatting sqref="Q62">
    <cfRule type="cellIs" dxfId="2601" priority="2099" operator="greaterThanOrEqual">
      <formula>10</formula>
    </cfRule>
    <cfRule type="cellIs" dxfId="2600" priority="2100" operator="between">
      <formula>1</formula>
      <formula>10</formula>
    </cfRule>
    <cfRule type="cellIs" dxfId="2599" priority="2101" operator="between">
      <formula>0.1</formula>
      <formula>1</formula>
    </cfRule>
    <cfRule type="cellIs" dxfId="2598" priority="2102" operator="between">
      <formula>0.001</formula>
      <formula>0.01</formula>
    </cfRule>
    <cfRule type="cellIs" dxfId="2597" priority="2103" operator="between">
      <formula>0</formula>
      <formula>0.001</formula>
    </cfRule>
    <cfRule type="cellIs" dxfId="2596" priority="2104" operator="between">
      <formula>0.01</formula>
      <formula>0.1</formula>
    </cfRule>
  </conditionalFormatting>
  <conditionalFormatting sqref="G33:G34">
    <cfRule type="cellIs" dxfId="2595" priority="2093" operator="greaterThanOrEqual">
      <formula>10</formula>
    </cfRule>
    <cfRule type="cellIs" dxfId="2594" priority="2094" operator="between">
      <formula>1</formula>
      <formula>10</formula>
    </cfRule>
    <cfRule type="cellIs" dxfId="2593" priority="2095" operator="between">
      <formula>0.1</formula>
      <formula>1</formula>
    </cfRule>
    <cfRule type="cellIs" dxfId="2592" priority="2096" operator="between">
      <formula>0.001</formula>
      <formula>0.01</formula>
    </cfRule>
    <cfRule type="cellIs" dxfId="2591" priority="2097" operator="between">
      <formula>0</formula>
      <formula>0.001</formula>
    </cfRule>
    <cfRule type="cellIs" dxfId="2590" priority="2098" operator="between">
      <formula>0.01</formula>
      <formula>0.1</formula>
    </cfRule>
  </conditionalFormatting>
  <conditionalFormatting sqref="G33:G34">
    <cfRule type="cellIs" dxfId="2589" priority="2092" operator="equal">
      <formula>0</formula>
    </cfRule>
  </conditionalFormatting>
  <conditionalFormatting sqref="H33:I34 K33:K34">
    <cfRule type="cellIs" dxfId="2588" priority="2086" operator="greaterThanOrEqual">
      <formula>10</formula>
    </cfRule>
    <cfRule type="cellIs" dxfId="2587" priority="2087" operator="between">
      <formula>1</formula>
      <formula>10</formula>
    </cfRule>
    <cfRule type="cellIs" dxfId="2586" priority="2088" operator="between">
      <formula>0.1</formula>
      <formula>1</formula>
    </cfRule>
    <cfRule type="cellIs" dxfId="2585" priority="2089" operator="between">
      <formula>0.001</formula>
      <formula>0.01</formula>
    </cfRule>
    <cfRule type="cellIs" dxfId="2584" priority="2090" operator="between">
      <formula>0</formula>
      <formula>0.001</formula>
    </cfRule>
    <cfRule type="cellIs" dxfId="2583" priority="2091" operator="between">
      <formula>0.01</formula>
      <formula>0.1</formula>
    </cfRule>
  </conditionalFormatting>
  <conditionalFormatting sqref="K33">
    <cfRule type="cellIs" dxfId="2582" priority="2080" operator="greaterThanOrEqual">
      <formula>10</formula>
    </cfRule>
    <cfRule type="cellIs" dxfId="2581" priority="2081" operator="between">
      <formula>1</formula>
      <formula>10</formula>
    </cfRule>
    <cfRule type="cellIs" dxfId="2580" priority="2082" operator="between">
      <formula>0.1</formula>
      <formula>1</formula>
    </cfRule>
    <cfRule type="cellIs" dxfId="2579" priority="2083" operator="between">
      <formula>0.001</formula>
      <formula>0.01</formula>
    </cfRule>
    <cfRule type="cellIs" dxfId="2578" priority="2084" operator="between">
      <formula>0</formula>
      <formula>0.001</formula>
    </cfRule>
    <cfRule type="cellIs" dxfId="2577" priority="2085" operator="between">
      <formula>0.01</formula>
      <formula>0.1</formula>
    </cfRule>
  </conditionalFormatting>
  <conditionalFormatting sqref="K34">
    <cfRule type="cellIs" dxfId="2576" priority="2074" operator="greaterThanOrEqual">
      <formula>10</formula>
    </cfRule>
    <cfRule type="cellIs" dxfId="2575" priority="2075" operator="between">
      <formula>1</formula>
      <formula>10</formula>
    </cfRule>
    <cfRule type="cellIs" dxfId="2574" priority="2076" operator="between">
      <formula>0.1</formula>
      <formula>1</formula>
    </cfRule>
    <cfRule type="cellIs" dxfId="2573" priority="2077" operator="between">
      <formula>0.001</formula>
      <formula>0.01</formula>
    </cfRule>
    <cfRule type="cellIs" dxfId="2572" priority="2078" operator="between">
      <formula>0</formula>
      <formula>0.001</formula>
    </cfRule>
    <cfRule type="cellIs" dxfId="2571" priority="2079" operator="between">
      <formula>0.01</formula>
      <formula>0.1</formula>
    </cfRule>
  </conditionalFormatting>
  <conditionalFormatting sqref="H33:K34">
    <cfRule type="cellIs" dxfId="2570" priority="2068" operator="greaterThanOrEqual">
      <formula>10</formula>
    </cfRule>
    <cfRule type="cellIs" dxfId="2569" priority="2069" operator="between">
      <formula>1</formula>
      <formula>10</formula>
    </cfRule>
    <cfRule type="cellIs" dxfId="2568" priority="2070" operator="between">
      <formula>0.1</formula>
      <formula>1</formula>
    </cfRule>
    <cfRule type="cellIs" dxfId="2567" priority="2071" operator="between">
      <formula>0.001</formula>
      <formula>0.01</formula>
    </cfRule>
    <cfRule type="cellIs" dxfId="2566" priority="2072" operator="between">
      <formula>0</formula>
      <formula>0.001</formula>
    </cfRule>
    <cfRule type="cellIs" dxfId="2565" priority="2073" operator="between">
      <formula>0.01</formula>
      <formula>0.1</formula>
    </cfRule>
  </conditionalFormatting>
  <conditionalFormatting sqref="H33:K34">
    <cfRule type="cellIs" dxfId="2564" priority="2067" operator="equal">
      <formula>0</formula>
    </cfRule>
  </conditionalFormatting>
  <conditionalFormatting sqref="L33:L34">
    <cfRule type="cellIs" dxfId="2563" priority="2061" operator="greaterThanOrEqual">
      <formula>10</formula>
    </cfRule>
    <cfRule type="cellIs" dxfId="2562" priority="2062" operator="between">
      <formula>1</formula>
      <formula>10</formula>
    </cfRule>
    <cfRule type="cellIs" dxfId="2561" priority="2063" operator="between">
      <formula>0.1</formula>
      <formula>1</formula>
    </cfRule>
    <cfRule type="cellIs" dxfId="2560" priority="2064" operator="between">
      <formula>0.001</formula>
      <formula>0.01</formula>
    </cfRule>
    <cfRule type="cellIs" dxfId="2559" priority="2065" operator="between">
      <formula>0</formula>
      <formula>0.001</formula>
    </cfRule>
    <cfRule type="cellIs" dxfId="2558" priority="2066" operator="between">
      <formula>0.01</formula>
      <formula>0.1</formula>
    </cfRule>
  </conditionalFormatting>
  <conditionalFormatting sqref="L33:L34">
    <cfRule type="cellIs" dxfId="2557" priority="2060" operator="equal">
      <formula>0</formula>
    </cfRule>
  </conditionalFormatting>
  <conditionalFormatting sqref="M33:N34 P33:P34">
    <cfRule type="cellIs" dxfId="2556" priority="2054" operator="greaterThanOrEqual">
      <formula>10</formula>
    </cfRule>
    <cfRule type="cellIs" dxfId="2555" priority="2055" operator="between">
      <formula>1</formula>
      <formula>10</formula>
    </cfRule>
    <cfRule type="cellIs" dxfId="2554" priority="2056" operator="between">
      <formula>0.1</formula>
      <formula>1</formula>
    </cfRule>
    <cfRule type="cellIs" dxfId="2553" priority="2057" operator="between">
      <formula>0.001</formula>
      <formula>0.01</formula>
    </cfRule>
    <cfRule type="cellIs" dxfId="2552" priority="2058" operator="between">
      <formula>0</formula>
      <formula>0.001</formula>
    </cfRule>
    <cfRule type="cellIs" dxfId="2551" priority="2059" operator="between">
      <formula>0.01</formula>
      <formula>0.1</formula>
    </cfRule>
  </conditionalFormatting>
  <conditionalFormatting sqref="P33">
    <cfRule type="cellIs" dxfId="2550" priority="2048" operator="greaterThanOrEqual">
      <formula>10</formula>
    </cfRule>
    <cfRule type="cellIs" dxfId="2549" priority="2049" operator="between">
      <formula>1</formula>
      <formula>10</formula>
    </cfRule>
    <cfRule type="cellIs" dxfId="2548" priority="2050" operator="between">
      <formula>0.1</formula>
      <formula>1</formula>
    </cfRule>
    <cfRule type="cellIs" dxfId="2547" priority="2051" operator="between">
      <formula>0.001</formula>
      <formula>0.01</formula>
    </cfRule>
    <cfRule type="cellIs" dxfId="2546" priority="2052" operator="between">
      <formula>0</formula>
      <formula>0.001</formula>
    </cfRule>
    <cfRule type="cellIs" dxfId="2545" priority="2053" operator="between">
      <formula>0.01</formula>
      <formula>0.1</formula>
    </cfRule>
  </conditionalFormatting>
  <conditionalFormatting sqref="P34">
    <cfRule type="cellIs" dxfId="2544" priority="2042" operator="greaterThanOrEqual">
      <formula>10</formula>
    </cfRule>
    <cfRule type="cellIs" dxfId="2543" priority="2043" operator="between">
      <formula>1</formula>
      <formula>10</formula>
    </cfRule>
    <cfRule type="cellIs" dxfId="2542" priority="2044" operator="between">
      <formula>0.1</formula>
      <formula>1</formula>
    </cfRule>
    <cfRule type="cellIs" dxfId="2541" priority="2045" operator="between">
      <formula>0.001</formula>
      <formula>0.01</formula>
    </cfRule>
    <cfRule type="cellIs" dxfId="2540" priority="2046" operator="between">
      <formula>0</formula>
      <formula>0.001</formula>
    </cfRule>
    <cfRule type="cellIs" dxfId="2539" priority="2047" operator="between">
      <formula>0.01</formula>
      <formula>0.1</formula>
    </cfRule>
  </conditionalFormatting>
  <conditionalFormatting sqref="M33:P34">
    <cfRule type="cellIs" dxfId="2538" priority="2036" operator="greaterThanOrEqual">
      <formula>10</formula>
    </cfRule>
    <cfRule type="cellIs" dxfId="2537" priority="2037" operator="between">
      <formula>1</formula>
      <formula>10</formula>
    </cfRule>
    <cfRule type="cellIs" dxfId="2536" priority="2038" operator="between">
      <formula>0.1</formula>
      <formula>1</formula>
    </cfRule>
    <cfRule type="cellIs" dxfId="2535" priority="2039" operator="between">
      <formula>0.001</formula>
      <formula>0.01</formula>
    </cfRule>
    <cfRule type="cellIs" dxfId="2534" priority="2040" operator="between">
      <formula>0</formula>
      <formula>0.001</formula>
    </cfRule>
    <cfRule type="cellIs" dxfId="2533" priority="2041" operator="between">
      <formula>0.01</formula>
      <formula>0.1</formula>
    </cfRule>
  </conditionalFormatting>
  <conditionalFormatting sqref="M33:P34">
    <cfRule type="cellIs" dxfId="2532" priority="2035" operator="equal">
      <formula>0</formula>
    </cfRule>
  </conditionalFormatting>
  <conditionalFormatting sqref="Q33:Q34">
    <cfRule type="cellIs" dxfId="2531" priority="2029" operator="greaterThanOrEqual">
      <formula>10</formula>
    </cfRule>
    <cfRule type="cellIs" dxfId="2530" priority="2030" operator="between">
      <formula>1</formula>
      <formula>10</formula>
    </cfRule>
    <cfRule type="cellIs" dxfId="2529" priority="2031" operator="between">
      <formula>0.1</formula>
      <formula>1</formula>
    </cfRule>
    <cfRule type="cellIs" dxfId="2528" priority="2032" operator="between">
      <formula>0.001</formula>
      <formula>0.01</formula>
    </cfRule>
    <cfRule type="cellIs" dxfId="2527" priority="2033" operator="between">
      <formula>0</formula>
      <formula>0.001</formula>
    </cfRule>
    <cfRule type="cellIs" dxfId="2526" priority="2034" operator="between">
      <formula>0.01</formula>
      <formula>0.1</formula>
    </cfRule>
  </conditionalFormatting>
  <conditionalFormatting sqref="Q33:Q34">
    <cfRule type="cellIs" dxfId="2525" priority="2028" operator="equal">
      <formula>0</formula>
    </cfRule>
  </conditionalFormatting>
  <conditionalFormatting sqref="R33:S34 U33:U34">
    <cfRule type="cellIs" dxfId="2524" priority="2022" operator="greaterThanOrEqual">
      <formula>10</formula>
    </cfRule>
    <cfRule type="cellIs" dxfId="2523" priority="2023" operator="between">
      <formula>1</formula>
      <formula>10</formula>
    </cfRule>
    <cfRule type="cellIs" dxfId="2522" priority="2024" operator="between">
      <formula>0.1</formula>
      <formula>1</formula>
    </cfRule>
    <cfRule type="cellIs" dxfId="2521" priority="2025" operator="between">
      <formula>0.001</formula>
      <formula>0.01</formula>
    </cfRule>
    <cfRule type="cellIs" dxfId="2520" priority="2026" operator="between">
      <formula>0</formula>
      <formula>0.001</formula>
    </cfRule>
    <cfRule type="cellIs" dxfId="2519" priority="2027" operator="between">
      <formula>0.01</formula>
      <formula>0.1</formula>
    </cfRule>
  </conditionalFormatting>
  <conditionalFormatting sqref="U33">
    <cfRule type="cellIs" dxfId="2518" priority="2016" operator="greaterThanOrEqual">
      <formula>10</formula>
    </cfRule>
    <cfRule type="cellIs" dxfId="2517" priority="2017" operator="between">
      <formula>1</formula>
      <formula>10</formula>
    </cfRule>
    <cfRule type="cellIs" dxfId="2516" priority="2018" operator="between">
      <formula>0.1</formula>
      <formula>1</formula>
    </cfRule>
    <cfRule type="cellIs" dxfId="2515" priority="2019" operator="between">
      <formula>0.001</formula>
      <formula>0.01</formula>
    </cfRule>
    <cfRule type="cellIs" dxfId="2514" priority="2020" operator="between">
      <formula>0</formula>
      <formula>0.001</formula>
    </cfRule>
    <cfRule type="cellIs" dxfId="2513" priority="2021" operator="between">
      <formula>0.01</formula>
      <formula>0.1</formula>
    </cfRule>
  </conditionalFormatting>
  <conditionalFormatting sqref="U34">
    <cfRule type="cellIs" dxfId="2512" priority="2010" operator="greaterThanOrEqual">
      <formula>10</formula>
    </cfRule>
    <cfRule type="cellIs" dxfId="2511" priority="2011" operator="between">
      <formula>1</formula>
      <formula>10</formula>
    </cfRule>
    <cfRule type="cellIs" dxfId="2510" priority="2012" operator="between">
      <formula>0.1</formula>
      <formula>1</formula>
    </cfRule>
    <cfRule type="cellIs" dxfId="2509" priority="2013" operator="between">
      <formula>0.001</formula>
      <formula>0.01</formula>
    </cfRule>
    <cfRule type="cellIs" dxfId="2508" priority="2014" operator="between">
      <formula>0</formula>
      <formula>0.001</formula>
    </cfRule>
    <cfRule type="cellIs" dxfId="2507" priority="2015" operator="between">
      <formula>0.01</formula>
      <formula>0.1</formula>
    </cfRule>
  </conditionalFormatting>
  <conditionalFormatting sqref="R33:U34">
    <cfRule type="cellIs" dxfId="2506" priority="2004" operator="greaterThanOrEqual">
      <formula>10</formula>
    </cfRule>
    <cfRule type="cellIs" dxfId="2505" priority="2005" operator="between">
      <formula>1</formula>
      <formula>10</formula>
    </cfRule>
    <cfRule type="cellIs" dxfId="2504" priority="2006" operator="between">
      <formula>0.1</formula>
      <formula>1</formula>
    </cfRule>
    <cfRule type="cellIs" dxfId="2503" priority="2007" operator="between">
      <formula>0.001</formula>
      <formula>0.01</formula>
    </cfRule>
    <cfRule type="cellIs" dxfId="2502" priority="2008" operator="between">
      <formula>0</formula>
      <formula>0.001</formula>
    </cfRule>
    <cfRule type="cellIs" dxfId="2501" priority="2009" operator="between">
      <formula>0.01</formula>
      <formula>0.1</formula>
    </cfRule>
  </conditionalFormatting>
  <conditionalFormatting sqref="R33:U34">
    <cfRule type="cellIs" dxfId="2500" priority="2003" operator="equal">
      <formula>0</formula>
    </cfRule>
  </conditionalFormatting>
  <conditionalFormatting sqref="V42">
    <cfRule type="cellIs" dxfId="2499" priority="2002" operator="equal">
      <formula>0</formula>
    </cfRule>
  </conditionalFormatting>
  <conditionalFormatting sqref="V71">
    <cfRule type="cellIs" dxfId="2498" priority="2001" operator="equal">
      <formula>0</formula>
    </cfRule>
  </conditionalFormatting>
  <conditionalFormatting sqref="V60">
    <cfRule type="cellIs" dxfId="2497" priority="2000" operator="equal">
      <formula>0</formula>
    </cfRule>
  </conditionalFormatting>
  <conditionalFormatting sqref="V39:Z39">
    <cfRule type="cellIs" dxfId="2496" priority="1996" operator="between">
      <formula>0.001</formula>
      <formula>0.01</formula>
    </cfRule>
    <cfRule type="cellIs" dxfId="2495" priority="1997" operator="between">
      <formula>0.1</formula>
      <formula>1</formula>
    </cfRule>
    <cfRule type="cellIs" dxfId="2494" priority="1998" operator="greaterThanOrEqual">
      <formula>1</formula>
    </cfRule>
    <cfRule type="cellIs" dxfId="2493" priority="1999" operator="between">
      <formula>0.01</formula>
      <formula>0.1</formula>
    </cfRule>
  </conditionalFormatting>
  <conditionalFormatting sqref="IG39">
    <cfRule type="expression" dxfId="2492" priority="1995">
      <formula>IG$29&gt;1</formula>
    </cfRule>
  </conditionalFormatting>
  <conditionalFormatting sqref="V39">
    <cfRule type="expression" dxfId="2491" priority="1985">
      <formula>B39+G39+L39+Q39&lt;=1</formula>
    </cfRule>
    <cfRule type="expression" dxfId="2490" priority="1994">
      <formula>B39+G39+L39+Q39&gt;1</formula>
    </cfRule>
  </conditionalFormatting>
  <conditionalFormatting sqref="Z39">
    <cfRule type="expression" dxfId="2489" priority="1987">
      <formula>F39+K39+P39+U39&gt;1</formula>
    </cfRule>
    <cfRule type="expression" dxfId="2488" priority="1991">
      <formula>F39+K39+P39+U39&lt;=1</formula>
    </cfRule>
  </conditionalFormatting>
  <conditionalFormatting sqref="Y39">
    <cfRule type="expression" dxfId="2487" priority="1988">
      <formula>E39+J39+O39+T39&gt;1</formula>
    </cfRule>
    <cfRule type="expression" dxfId="2486" priority="1992">
      <formula>E39+J39+O39+T39&lt;=1</formula>
    </cfRule>
  </conditionalFormatting>
  <conditionalFormatting sqref="X39">
    <cfRule type="expression" dxfId="2485" priority="1989">
      <formula>D39+I39+N39+S39&gt;1</formula>
    </cfRule>
    <cfRule type="expression" dxfId="2484" priority="1993">
      <formula>D39+I39+N39+S39&lt;=1</formula>
    </cfRule>
  </conditionalFormatting>
  <conditionalFormatting sqref="W39">
    <cfRule type="expression" dxfId="2483" priority="1986">
      <formula>C39+H39+M39+R39&gt;1</formula>
    </cfRule>
    <cfRule type="expression" dxfId="2482" priority="1990">
      <formula>C39+H39+M39+R39&lt;=1</formula>
    </cfRule>
  </conditionalFormatting>
  <conditionalFormatting sqref="V35:Z35">
    <cfRule type="cellIs" dxfId="2481" priority="1981" operator="between">
      <formula>0.001</formula>
      <formula>0.01</formula>
    </cfRule>
    <cfRule type="cellIs" dxfId="2480" priority="1982" operator="between">
      <formula>0.1</formula>
      <formula>1</formula>
    </cfRule>
    <cfRule type="cellIs" dxfId="2479" priority="1983" operator="greaterThanOrEqual">
      <formula>1</formula>
    </cfRule>
    <cfRule type="cellIs" dxfId="2478" priority="1984" operator="between">
      <formula>0.01</formula>
      <formula>0.1</formula>
    </cfRule>
  </conditionalFormatting>
  <conditionalFormatting sqref="V35">
    <cfRule type="expression" dxfId="2477" priority="1971">
      <formula>B35+G35+L35+Q35&lt;=1</formula>
    </cfRule>
    <cfRule type="expression" dxfId="2476" priority="1980">
      <formula>B35+G35+L35+Q35&gt;1</formula>
    </cfRule>
  </conditionalFormatting>
  <conditionalFormatting sqref="Z35">
    <cfRule type="expression" dxfId="2475" priority="1973">
      <formula>F35+K35+P35+U35&gt;1</formula>
    </cfRule>
    <cfRule type="expression" dxfId="2474" priority="1977">
      <formula>F35+K35+P35+U35&lt;=1</formula>
    </cfRule>
  </conditionalFormatting>
  <conditionalFormatting sqref="Y35">
    <cfRule type="expression" dxfId="2473" priority="1974">
      <formula>E35+J35+O35+T35&gt;1</formula>
    </cfRule>
    <cfRule type="expression" dxfId="2472" priority="1978">
      <formula>E35+J35+O35+T35&lt;=1</formula>
    </cfRule>
  </conditionalFormatting>
  <conditionalFormatting sqref="X35">
    <cfRule type="expression" dxfId="2471" priority="1975">
      <formula>D35+I35+N35+S35&gt;1</formula>
    </cfRule>
    <cfRule type="expression" dxfId="2470" priority="1979">
      <formula>D35+I35+N35+S35&lt;=1</formula>
    </cfRule>
  </conditionalFormatting>
  <conditionalFormatting sqref="W35">
    <cfRule type="expression" dxfId="2469" priority="1972">
      <formula>C35+H35+M35+R35&gt;1</formula>
    </cfRule>
    <cfRule type="expression" dxfId="2468" priority="1976">
      <formula>C35+H35+M35+R35&lt;=1</formula>
    </cfRule>
  </conditionalFormatting>
  <conditionalFormatting sqref="B75">
    <cfRule type="cellIs" dxfId="2467" priority="1965" operator="greaterThanOrEqual">
      <formula>10</formula>
    </cfRule>
    <cfRule type="cellIs" dxfId="2466" priority="1966" operator="between">
      <formula>1</formula>
      <formula>10</formula>
    </cfRule>
    <cfRule type="cellIs" dxfId="2465" priority="1967" operator="between">
      <formula>0.1</formula>
      <formula>1</formula>
    </cfRule>
    <cfRule type="cellIs" dxfId="2464" priority="1968" operator="between">
      <formula>0.001</formula>
      <formula>0.01</formula>
    </cfRule>
    <cfRule type="cellIs" dxfId="2463" priority="1969" operator="between">
      <formula>0</formula>
      <formula>0.001</formula>
    </cfRule>
    <cfRule type="cellIs" dxfId="2462" priority="1970" operator="between">
      <formula>0.01</formula>
      <formula>0.1</formula>
    </cfRule>
  </conditionalFormatting>
  <conditionalFormatting sqref="B75">
    <cfRule type="cellIs" dxfId="2461" priority="1964" operator="equal">
      <formula>0</formula>
    </cfRule>
  </conditionalFormatting>
  <conditionalFormatting sqref="D75">
    <cfRule type="cellIs" dxfId="2460" priority="1958" operator="greaterThanOrEqual">
      <formula>10</formula>
    </cfRule>
    <cfRule type="cellIs" dxfId="2459" priority="1959" operator="between">
      <formula>1</formula>
      <formula>10</formula>
    </cfRule>
    <cfRule type="cellIs" dxfId="2458" priority="1960" operator="between">
      <formula>0.1</formula>
      <formula>1</formula>
    </cfRule>
    <cfRule type="cellIs" dxfId="2457" priority="1961" operator="between">
      <formula>0.001</formula>
      <formula>0.01</formula>
    </cfRule>
    <cfRule type="cellIs" dxfId="2456" priority="1962" operator="between">
      <formula>0</formula>
      <formula>0.001</formula>
    </cfRule>
    <cfRule type="cellIs" dxfId="2455" priority="1963" operator="between">
      <formula>0.01</formula>
      <formula>0.1</formula>
    </cfRule>
  </conditionalFormatting>
  <conditionalFormatting sqref="D75">
    <cfRule type="cellIs" dxfId="2454" priority="1957" operator="equal">
      <formula>0</formula>
    </cfRule>
  </conditionalFormatting>
  <conditionalFormatting sqref="B73:B74">
    <cfRule type="cellIs" dxfId="2453" priority="1951" operator="greaterThanOrEqual">
      <formula>10</formula>
    </cfRule>
    <cfRule type="cellIs" dxfId="2452" priority="1952" operator="between">
      <formula>1</formula>
      <formula>10</formula>
    </cfRule>
    <cfRule type="cellIs" dxfId="2451" priority="1953" operator="between">
      <formula>0.1</formula>
      <formula>1</formula>
    </cfRule>
    <cfRule type="cellIs" dxfId="2450" priority="1954" operator="between">
      <formula>0.001</formula>
      <formula>0.01</formula>
    </cfRule>
    <cfRule type="cellIs" dxfId="2449" priority="1955" operator="between">
      <formula>0</formula>
      <formula>0.001</formula>
    </cfRule>
    <cfRule type="cellIs" dxfId="2448" priority="1956" operator="between">
      <formula>0.01</formula>
      <formula>0.1</formula>
    </cfRule>
  </conditionalFormatting>
  <conditionalFormatting sqref="B73">
    <cfRule type="cellIs" dxfId="2447" priority="1945" operator="greaterThanOrEqual">
      <formula>10</formula>
    </cfRule>
    <cfRule type="cellIs" dxfId="2446" priority="1946" operator="between">
      <formula>1</formula>
      <formula>10</formula>
    </cfRule>
    <cfRule type="cellIs" dxfId="2445" priority="1947" operator="between">
      <formula>0.1</formula>
      <formula>1</formula>
    </cfRule>
    <cfRule type="cellIs" dxfId="2444" priority="1948" operator="between">
      <formula>0.001</formula>
      <formula>0.01</formula>
    </cfRule>
    <cfRule type="cellIs" dxfId="2443" priority="1949" operator="between">
      <formula>0</formula>
      <formula>0.001</formula>
    </cfRule>
    <cfRule type="cellIs" dxfId="2442" priority="1950" operator="between">
      <formula>0.01</formula>
      <formula>0.1</formula>
    </cfRule>
  </conditionalFormatting>
  <conditionalFormatting sqref="D73">
    <cfRule type="cellIs" dxfId="2441" priority="1932" operator="greaterThanOrEqual">
      <formula>10</formula>
    </cfRule>
    <cfRule type="cellIs" dxfId="2440" priority="1933" operator="between">
      <formula>1</formula>
      <formula>10</formula>
    </cfRule>
    <cfRule type="cellIs" dxfId="2439" priority="1934" operator="between">
      <formula>0.1</formula>
      <formula>1</formula>
    </cfRule>
    <cfRule type="cellIs" dxfId="2438" priority="1935" operator="between">
      <formula>0.001</formula>
      <formula>0.01</formula>
    </cfRule>
    <cfRule type="cellIs" dxfId="2437" priority="1936" operator="between">
      <formula>0</formula>
      <formula>0.001</formula>
    </cfRule>
    <cfRule type="cellIs" dxfId="2436" priority="1937" operator="between">
      <formula>0.01</formula>
      <formula>0.1</formula>
    </cfRule>
  </conditionalFormatting>
  <conditionalFormatting sqref="D73">
    <cfRule type="cellIs" dxfId="2435" priority="1931" operator="equal">
      <formula>0</formula>
    </cfRule>
  </conditionalFormatting>
  <conditionalFormatting sqref="D74">
    <cfRule type="cellIs" dxfId="2434" priority="1925" operator="greaterThanOrEqual">
      <formula>10</formula>
    </cfRule>
    <cfRule type="cellIs" dxfId="2433" priority="1926" operator="between">
      <formula>1</formula>
      <formula>10</formula>
    </cfRule>
    <cfRule type="cellIs" dxfId="2432" priority="1927" operator="between">
      <formula>0.1</formula>
      <formula>1</formula>
    </cfRule>
    <cfRule type="cellIs" dxfId="2431" priority="1928" operator="between">
      <formula>0.001</formula>
      <formula>0.01</formula>
    </cfRule>
    <cfRule type="cellIs" dxfId="2430" priority="1929" operator="between">
      <formula>0</formula>
      <formula>0.001</formula>
    </cfRule>
    <cfRule type="cellIs" dxfId="2429" priority="1930" operator="between">
      <formula>0.01</formula>
      <formula>0.1</formula>
    </cfRule>
  </conditionalFormatting>
  <conditionalFormatting sqref="D74">
    <cfRule type="cellIs" dxfId="2428" priority="1924" operator="equal">
      <formula>0</formula>
    </cfRule>
  </conditionalFormatting>
  <conditionalFormatting sqref="B69:B70">
    <cfRule type="cellIs" dxfId="2427" priority="1918" operator="greaterThanOrEqual">
      <formula>10</formula>
    </cfRule>
    <cfRule type="cellIs" dxfId="2426" priority="1919" operator="between">
      <formula>1</formula>
      <formula>10</formula>
    </cfRule>
    <cfRule type="cellIs" dxfId="2425" priority="1920" operator="between">
      <formula>0.1</formula>
      <formula>1</formula>
    </cfRule>
    <cfRule type="cellIs" dxfId="2424" priority="1921" operator="between">
      <formula>0.001</formula>
      <formula>0.01</formula>
    </cfRule>
    <cfRule type="cellIs" dxfId="2423" priority="1922" operator="between">
      <formula>0</formula>
      <formula>0.001</formula>
    </cfRule>
    <cfRule type="cellIs" dxfId="2422" priority="1923" operator="between">
      <formula>0.01</formula>
      <formula>0.1</formula>
    </cfRule>
  </conditionalFormatting>
  <conditionalFormatting sqref="B69:C70">
    <cfRule type="cellIs" dxfId="2421" priority="1917" operator="equal">
      <formula>0</formula>
    </cfRule>
  </conditionalFormatting>
  <conditionalFormatting sqref="D69:D70">
    <cfRule type="cellIs" dxfId="2420" priority="1911" operator="greaterThanOrEqual">
      <formula>10</formula>
    </cfRule>
    <cfRule type="cellIs" dxfId="2419" priority="1912" operator="between">
      <formula>1</formula>
      <formula>10</formula>
    </cfRule>
    <cfRule type="cellIs" dxfId="2418" priority="1913" operator="between">
      <formula>0.1</formula>
      <formula>1</formula>
    </cfRule>
    <cfRule type="cellIs" dxfId="2417" priority="1914" operator="between">
      <formula>0.001</formula>
      <formula>0.01</formula>
    </cfRule>
    <cfRule type="cellIs" dxfId="2416" priority="1915" operator="between">
      <formula>0</formula>
      <formula>0.001</formula>
    </cfRule>
    <cfRule type="cellIs" dxfId="2415" priority="1916" operator="between">
      <formula>0.01</formula>
      <formula>0.1</formula>
    </cfRule>
  </conditionalFormatting>
  <conditionalFormatting sqref="D69:D70">
    <cfRule type="cellIs" dxfId="2414" priority="1910" operator="equal">
      <formula>0</formula>
    </cfRule>
  </conditionalFormatting>
  <conditionalFormatting sqref="B68">
    <cfRule type="cellIs" dxfId="2413" priority="1904" operator="greaterThanOrEqual">
      <formula>10</formula>
    </cfRule>
    <cfRule type="cellIs" dxfId="2412" priority="1905" operator="between">
      <formula>1</formula>
      <formula>10</formula>
    </cfRule>
    <cfRule type="cellIs" dxfId="2411" priority="1906" operator="between">
      <formula>0.1</formula>
      <formula>1</formula>
    </cfRule>
    <cfRule type="cellIs" dxfId="2410" priority="1907" operator="between">
      <formula>0.001</formula>
      <formula>0.01</formula>
    </cfRule>
    <cfRule type="cellIs" dxfId="2409" priority="1908" operator="between">
      <formula>0</formula>
      <formula>0.001</formula>
    </cfRule>
    <cfRule type="cellIs" dxfId="2408" priority="1909" operator="between">
      <formula>0.01</formula>
      <formula>0.1</formula>
    </cfRule>
  </conditionalFormatting>
  <conditionalFormatting sqref="D68">
    <cfRule type="cellIs" dxfId="2407" priority="1898" operator="greaterThanOrEqual">
      <formula>10</formula>
    </cfRule>
    <cfRule type="cellIs" dxfId="2406" priority="1899" operator="between">
      <formula>1</formula>
      <formula>10</formula>
    </cfRule>
    <cfRule type="cellIs" dxfId="2405" priority="1900" operator="between">
      <formula>0.1</formula>
      <formula>1</formula>
    </cfRule>
    <cfRule type="cellIs" dxfId="2404" priority="1901" operator="between">
      <formula>0.001</formula>
      <formula>0.01</formula>
    </cfRule>
    <cfRule type="cellIs" dxfId="2403" priority="1902" operator="between">
      <formula>0</formula>
      <formula>0.001</formula>
    </cfRule>
    <cfRule type="cellIs" dxfId="2402" priority="1903" operator="between">
      <formula>0.01</formula>
      <formula>0.1</formula>
    </cfRule>
  </conditionalFormatting>
  <conditionalFormatting sqref="D68">
    <cfRule type="cellIs" dxfId="2401" priority="1897" operator="equal">
      <formula>0</formula>
    </cfRule>
  </conditionalFormatting>
  <conditionalFormatting sqref="B68:C68">
    <cfRule type="cellIs" dxfId="2400" priority="1896" operator="equal">
      <formula>0</formula>
    </cfRule>
  </conditionalFormatting>
  <conditionalFormatting sqref="G54">
    <cfRule type="cellIs" dxfId="2399" priority="1890" operator="greaterThanOrEqual">
      <formula>10</formula>
    </cfRule>
    <cfRule type="cellIs" dxfId="2398" priority="1891" operator="between">
      <formula>1</formula>
      <formula>10</formula>
    </cfRule>
    <cfRule type="cellIs" dxfId="2397" priority="1892" operator="between">
      <formula>0.1</formula>
      <formula>1</formula>
    </cfRule>
    <cfRule type="cellIs" dxfId="2396" priority="1893" operator="between">
      <formula>0.001</formula>
      <formula>0.01</formula>
    </cfRule>
    <cfRule type="cellIs" dxfId="2395" priority="1894" operator="between">
      <formula>0</formula>
      <formula>0.001</formula>
    </cfRule>
    <cfRule type="cellIs" dxfId="2394" priority="1895" operator="between">
      <formula>0.01</formula>
      <formula>0.1</formula>
    </cfRule>
  </conditionalFormatting>
  <conditionalFormatting sqref="G54:H54">
    <cfRule type="cellIs" dxfId="2393" priority="1889" operator="equal">
      <formula>0</formula>
    </cfRule>
  </conditionalFormatting>
  <conditionalFormatting sqref="G55:G57">
    <cfRule type="cellIs" dxfId="2392" priority="1883" operator="greaterThanOrEqual">
      <formula>10</formula>
    </cfRule>
    <cfRule type="cellIs" dxfId="2391" priority="1884" operator="between">
      <formula>1</formula>
      <formula>10</formula>
    </cfRule>
    <cfRule type="cellIs" dxfId="2390" priority="1885" operator="between">
      <formula>0.1</formula>
      <formula>1</formula>
    </cfRule>
    <cfRule type="cellIs" dxfId="2389" priority="1886" operator="between">
      <formula>0.001</formula>
      <formula>0.01</formula>
    </cfRule>
    <cfRule type="cellIs" dxfId="2388" priority="1887" operator="between">
      <formula>0</formula>
      <formula>0.001</formula>
    </cfRule>
    <cfRule type="cellIs" dxfId="2387" priority="1888" operator="between">
      <formula>0.01</formula>
      <formula>0.1</formula>
    </cfRule>
  </conditionalFormatting>
  <conditionalFormatting sqref="G55:G57">
    <cfRule type="cellIs" dxfId="2386" priority="1882" operator="equal">
      <formula>0</formula>
    </cfRule>
  </conditionalFormatting>
  <conditionalFormatting sqref="I55 I57">
    <cfRule type="cellIs" dxfId="2385" priority="1876" operator="greaterThanOrEqual">
      <formula>10</formula>
    </cfRule>
    <cfRule type="cellIs" dxfId="2384" priority="1877" operator="between">
      <formula>1</formula>
      <formula>10</formula>
    </cfRule>
    <cfRule type="cellIs" dxfId="2383" priority="1878" operator="between">
      <formula>0.1</formula>
      <formula>1</formula>
    </cfRule>
    <cfRule type="cellIs" dxfId="2382" priority="1879" operator="between">
      <formula>0.001</formula>
      <formula>0.01</formula>
    </cfRule>
    <cfRule type="cellIs" dxfId="2381" priority="1880" operator="between">
      <formula>0</formula>
      <formula>0.001</formula>
    </cfRule>
    <cfRule type="cellIs" dxfId="2380" priority="1881" operator="between">
      <formula>0.01</formula>
      <formula>0.1</formula>
    </cfRule>
  </conditionalFormatting>
  <conditionalFormatting sqref="I55 I57">
    <cfRule type="cellIs" dxfId="2379" priority="1875" operator="equal">
      <formula>0</formula>
    </cfRule>
  </conditionalFormatting>
  <conditionalFormatting sqref="I54 I56">
    <cfRule type="cellIs" dxfId="2378" priority="1869" operator="greaterThanOrEqual">
      <formula>10</formula>
    </cfRule>
    <cfRule type="cellIs" dxfId="2377" priority="1870" operator="between">
      <formula>1</formula>
      <formula>10</formula>
    </cfRule>
    <cfRule type="cellIs" dxfId="2376" priority="1871" operator="between">
      <formula>0.1</formula>
      <formula>1</formula>
    </cfRule>
    <cfRule type="cellIs" dxfId="2375" priority="1872" operator="between">
      <formula>0.001</formula>
      <formula>0.01</formula>
    </cfRule>
    <cfRule type="cellIs" dxfId="2374" priority="1873" operator="between">
      <formula>0</formula>
      <formula>0.001</formula>
    </cfRule>
    <cfRule type="cellIs" dxfId="2373" priority="1874" operator="between">
      <formula>0.01</formula>
      <formula>0.1</formula>
    </cfRule>
  </conditionalFormatting>
  <conditionalFormatting sqref="I54 I56">
    <cfRule type="cellIs" dxfId="2372" priority="1868" operator="equal">
      <formula>0</formula>
    </cfRule>
  </conditionalFormatting>
  <conditionalFormatting sqref="L54">
    <cfRule type="cellIs" dxfId="2371" priority="1862" operator="greaterThanOrEqual">
      <formula>10</formula>
    </cfRule>
    <cfRule type="cellIs" dxfId="2370" priority="1863" operator="between">
      <formula>1</formula>
      <formula>10</formula>
    </cfRule>
    <cfRule type="cellIs" dxfId="2369" priority="1864" operator="between">
      <formula>0.1</formula>
      <formula>1</formula>
    </cfRule>
    <cfRule type="cellIs" dxfId="2368" priority="1865" operator="between">
      <formula>0.001</formula>
      <formula>0.01</formula>
    </cfRule>
    <cfRule type="cellIs" dxfId="2367" priority="1866" operator="between">
      <formula>0</formula>
      <formula>0.001</formula>
    </cfRule>
    <cfRule type="cellIs" dxfId="2366" priority="1867" operator="between">
      <formula>0.01</formula>
      <formula>0.1</formula>
    </cfRule>
  </conditionalFormatting>
  <conditionalFormatting sqref="L54:M54">
    <cfRule type="cellIs" dxfId="2365" priority="1861" operator="equal">
      <formula>0</formula>
    </cfRule>
  </conditionalFormatting>
  <conditionalFormatting sqref="L55:L57">
    <cfRule type="cellIs" dxfId="2364" priority="1855" operator="greaterThanOrEqual">
      <formula>10</formula>
    </cfRule>
    <cfRule type="cellIs" dxfId="2363" priority="1856" operator="between">
      <formula>1</formula>
      <formula>10</formula>
    </cfRule>
    <cfRule type="cellIs" dxfId="2362" priority="1857" operator="between">
      <formula>0.1</formula>
      <formula>1</formula>
    </cfRule>
    <cfRule type="cellIs" dxfId="2361" priority="1858" operator="between">
      <formula>0.001</formula>
      <formula>0.01</formula>
    </cfRule>
    <cfRule type="cellIs" dxfId="2360" priority="1859" operator="between">
      <formula>0</formula>
      <formula>0.001</formula>
    </cfRule>
    <cfRule type="cellIs" dxfId="2359" priority="1860" operator="between">
      <formula>0.01</formula>
      <formula>0.1</formula>
    </cfRule>
  </conditionalFormatting>
  <conditionalFormatting sqref="L55:L57">
    <cfRule type="cellIs" dxfId="2358" priority="1854" operator="equal">
      <formula>0</formula>
    </cfRule>
  </conditionalFormatting>
  <conditionalFormatting sqref="N55 N57">
    <cfRule type="cellIs" dxfId="2357" priority="1848" operator="greaterThanOrEqual">
      <formula>10</formula>
    </cfRule>
    <cfRule type="cellIs" dxfId="2356" priority="1849" operator="between">
      <formula>1</formula>
      <formula>10</formula>
    </cfRule>
    <cfRule type="cellIs" dxfId="2355" priority="1850" operator="between">
      <formula>0.1</formula>
      <formula>1</formula>
    </cfRule>
    <cfRule type="cellIs" dxfId="2354" priority="1851" operator="between">
      <formula>0.001</formula>
      <formula>0.01</formula>
    </cfRule>
    <cfRule type="cellIs" dxfId="2353" priority="1852" operator="between">
      <formula>0</formula>
      <formula>0.001</formula>
    </cfRule>
    <cfRule type="cellIs" dxfId="2352" priority="1853" operator="between">
      <formula>0.01</formula>
      <formula>0.1</formula>
    </cfRule>
  </conditionalFormatting>
  <conditionalFormatting sqref="N55 N57">
    <cfRule type="cellIs" dxfId="2351" priority="1847" operator="equal">
      <formula>0</formula>
    </cfRule>
  </conditionalFormatting>
  <conditionalFormatting sqref="N54 N56">
    <cfRule type="cellIs" dxfId="2350" priority="1841" operator="greaterThanOrEqual">
      <formula>10</formula>
    </cfRule>
    <cfRule type="cellIs" dxfId="2349" priority="1842" operator="between">
      <formula>1</formula>
      <formula>10</formula>
    </cfRule>
    <cfRule type="cellIs" dxfId="2348" priority="1843" operator="between">
      <formula>0.1</formula>
      <formula>1</formula>
    </cfRule>
    <cfRule type="cellIs" dxfId="2347" priority="1844" operator="between">
      <formula>0.001</formula>
      <formula>0.01</formula>
    </cfRule>
    <cfRule type="cellIs" dxfId="2346" priority="1845" operator="between">
      <formula>0</formula>
      <formula>0.001</formula>
    </cfRule>
    <cfRule type="cellIs" dxfId="2345" priority="1846" operator="between">
      <formula>0.01</formula>
      <formula>0.1</formula>
    </cfRule>
  </conditionalFormatting>
  <conditionalFormatting sqref="N54 N56">
    <cfRule type="cellIs" dxfId="2344" priority="1840" operator="equal">
      <formula>0</formula>
    </cfRule>
  </conditionalFormatting>
  <conditionalFormatting sqref="Q54">
    <cfRule type="cellIs" dxfId="2343" priority="1834" operator="greaterThanOrEqual">
      <formula>10</formula>
    </cfRule>
    <cfRule type="cellIs" dxfId="2342" priority="1835" operator="between">
      <formula>1</formula>
      <formula>10</formula>
    </cfRule>
    <cfRule type="cellIs" dxfId="2341" priority="1836" operator="between">
      <formula>0.1</formula>
      <formula>1</formula>
    </cfRule>
    <cfRule type="cellIs" dxfId="2340" priority="1837" operator="between">
      <formula>0.001</formula>
      <formula>0.01</formula>
    </cfRule>
    <cfRule type="cellIs" dxfId="2339" priority="1838" operator="between">
      <formula>0</formula>
      <formula>0.001</formula>
    </cfRule>
    <cfRule type="cellIs" dxfId="2338" priority="1839" operator="between">
      <formula>0.01</formula>
      <formula>0.1</formula>
    </cfRule>
  </conditionalFormatting>
  <conditionalFormatting sqref="Q54:R54">
    <cfRule type="cellIs" dxfId="2337" priority="1833" operator="equal">
      <formula>0</formula>
    </cfRule>
  </conditionalFormatting>
  <conditionalFormatting sqref="Q55:Q57">
    <cfRule type="cellIs" dxfId="2336" priority="1827" operator="greaterThanOrEqual">
      <formula>10</formula>
    </cfRule>
    <cfRule type="cellIs" dxfId="2335" priority="1828" operator="between">
      <formula>1</formula>
      <formula>10</formula>
    </cfRule>
    <cfRule type="cellIs" dxfId="2334" priority="1829" operator="between">
      <formula>0.1</formula>
      <formula>1</formula>
    </cfRule>
    <cfRule type="cellIs" dxfId="2333" priority="1830" operator="between">
      <formula>0.001</formula>
      <formula>0.01</formula>
    </cfRule>
    <cfRule type="cellIs" dxfId="2332" priority="1831" operator="between">
      <formula>0</formula>
      <formula>0.001</formula>
    </cfRule>
    <cfRule type="cellIs" dxfId="2331" priority="1832" operator="between">
      <formula>0.01</formula>
      <formula>0.1</formula>
    </cfRule>
  </conditionalFormatting>
  <conditionalFormatting sqref="Q55:Q57">
    <cfRule type="cellIs" dxfId="2330" priority="1826" operator="equal">
      <formula>0</formula>
    </cfRule>
  </conditionalFormatting>
  <conditionalFormatting sqref="S55 S57">
    <cfRule type="cellIs" dxfId="2329" priority="1820" operator="greaterThanOrEqual">
      <formula>10</formula>
    </cfRule>
    <cfRule type="cellIs" dxfId="2328" priority="1821" operator="between">
      <formula>1</formula>
      <formula>10</formula>
    </cfRule>
    <cfRule type="cellIs" dxfId="2327" priority="1822" operator="between">
      <formula>0.1</formula>
      <formula>1</formula>
    </cfRule>
    <cfRule type="cellIs" dxfId="2326" priority="1823" operator="between">
      <formula>0.001</formula>
      <formula>0.01</formula>
    </cfRule>
    <cfRule type="cellIs" dxfId="2325" priority="1824" operator="between">
      <formula>0</formula>
      <formula>0.001</formula>
    </cfRule>
    <cfRule type="cellIs" dxfId="2324" priority="1825" operator="between">
      <formula>0.01</formula>
      <formula>0.1</formula>
    </cfRule>
  </conditionalFormatting>
  <conditionalFormatting sqref="S55 S57">
    <cfRule type="cellIs" dxfId="2323" priority="1819" operator="equal">
      <formula>0</formula>
    </cfRule>
  </conditionalFormatting>
  <conditionalFormatting sqref="S54 S56">
    <cfRule type="cellIs" dxfId="2322" priority="1813" operator="greaterThanOrEqual">
      <formula>10</formula>
    </cfRule>
    <cfRule type="cellIs" dxfId="2321" priority="1814" operator="between">
      <formula>1</formula>
      <formula>10</formula>
    </cfRule>
    <cfRule type="cellIs" dxfId="2320" priority="1815" operator="between">
      <formula>0.1</formula>
      <formula>1</formula>
    </cfRule>
    <cfRule type="cellIs" dxfId="2319" priority="1816" operator="between">
      <formula>0.001</formula>
      <formula>0.01</formula>
    </cfRule>
    <cfRule type="cellIs" dxfId="2318" priority="1817" operator="between">
      <formula>0</formula>
      <formula>0.001</formula>
    </cfRule>
    <cfRule type="cellIs" dxfId="2317" priority="1818" operator="between">
      <formula>0.01</formula>
      <formula>0.1</formula>
    </cfRule>
  </conditionalFormatting>
  <conditionalFormatting sqref="S54 S56">
    <cfRule type="cellIs" dxfId="2316" priority="1812" operator="equal">
      <formula>0</formula>
    </cfRule>
  </conditionalFormatting>
  <conditionalFormatting sqref="L45">
    <cfRule type="cellIs" dxfId="2315" priority="1806" operator="greaterThanOrEqual">
      <formula>10</formula>
    </cfRule>
    <cfRule type="cellIs" dxfId="2314" priority="1807" operator="between">
      <formula>1</formula>
      <formula>10</formula>
    </cfRule>
    <cfRule type="cellIs" dxfId="2313" priority="1808" operator="between">
      <formula>0.1</formula>
      <formula>1</formula>
    </cfRule>
    <cfRule type="cellIs" dxfId="2312" priority="1809" operator="between">
      <formula>0.001</formula>
      <formula>0.01</formula>
    </cfRule>
    <cfRule type="cellIs" dxfId="2311" priority="1810" operator="between">
      <formula>0</formula>
      <formula>0.001</formula>
    </cfRule>
    <cfRule type="cellIs" dxfId="2310" priority="1811" operator="between">
      <formula>0.01</formula>
      <formula>0.1</formula>
    </cfRule>
  </conditionalFormatting>
  <conditionalFormatting sqref="N45">
    <cfRule type="cellIs" dxfId="2309" priority="1800" operator="greaterThanOrEqual">
      <formula>10</formula>
    </cfRule>
    <cfRule type="cellIs" dxfId="2308" priority="1801" operator="between">
      <formula>1</formula>
      <formula>10</formula>
    </cfRule>
    <cfRule type="cellIs" dxfId="2307" priority="1802" operator="between">
      <formula>0.1</formula>
      <formula>1</formula>
    </cfRule>
    <cfRule type="cellIs" dxfId="2306" priority="1803" operator="between">
      <formula>0.001</formula>
      <formula>0.01</formula>
    </cfRule>
    <cfRule type="cellIs" dxfId="2305" priority="1804" operator="between">
      <formula>0</formula>
      <formula>0.001</formula>
    </cfRule>
    <cfRule type="cellIs" dxfId="2304" priority="1805" operator="between">
      <formula>0.01</formula>
      <formula>0.1</formula>
    </cfRule>
  </conditionalFormatting>
  <conditionalFormatting sqref="N45">
    <cfRule type="cellIs" dxfId="2303" priority="1794" operator="greaterThanOrEqual">
      <formula>10</formula>
    </cfRule>
    <cfRule type="cellIs" dxfId="2302" priority="1795" operator="between">
      <formula>1</formula>
      <formula>10</formula>
    </cfRule>
    <cfRule type="cellIs" dxfId="2301" priority="1796" operator="between">
      <formula>0.1</formula>
      <formula>1</formula>
    </cfRule>
    <cfRule type="cellIs" dxfId="2300" priority="1797" operator="between">
      <formula>0.001</formula>
      <formula>0.01</formula>
    </cfRule>
    <cfRule type="cellIs" dxfId="2299" priority="1798" operator="between">
      <formula>0</formula>
      <formula>0.001</formula>
    </cfRule>
    <cfRule type="cellIs" dxfId="2298" priority="1799" operator="between">
      <formula>0.01</formula>
      <formula>0.1</formula>
    </cfRule>
  </conditionalFormatting>
  <conditionalFormatting sqref="N45">
    <cfRule type="cellIs" dxfId="2297" priority="1788" operator="greaterThanOrEqual">
      <formula>10</formula>
    </cfRule>
    <cfRule type="cellIs" dxfId="2296" priority="1789" operator="between">
      <formula>1</formula>
      <formula>10</formula>
    </cfRule>
    <cfRule type="cellIs" dxfId="2295" priority="1790" operator="between">
      <formula>0.1</formula>
      <formula>1</formula>
    </cfRule>
    <cfRule type="cellIs" dxfId="2294" priority="1791" operator="between">
      <formula>0.001</formula>
      <formula>0.01</formula>
    </cfRule>
    <cfRule type="cellIs" dxfId="2293" priority="1792" operator="between">
      <formula>0</formula>
      <formula>0.001</formula>
    </cfRule>
    <cfRule type="cellIs" dxfId="2292" priority="1793" operator="between">
      <formula>0.01</formula>
      <formula>0.1</formula>
    </cfRule>
  </conditionalFormatting>
  <conditionalFormatting sqref="N45">
    <cfRule type="cellIs" dxfId="2291" priority="1782" operator="greaterThanOrEqual">
      <formula>10</formula>
    </cfRule>
    <cfRule type="cellIs" dxfId="2290" priority="1783" operator="between">
      <formula>1</formula>
      <formula>10</formula>
    </cfRule>
    <cfRule type="cellIs" dxfId="2289" priority="1784" operator="between">
      <formula>0.1</formula>
      <formula>1</formula>
    </cfRule>
    <cfRule type="cellIs" dxfId="2288" priority="1785" operator="between">
      <formula>0.001</formula>
      <formula>0.01</formula>
    </cfRule>
    <cfRule type="cellIs" dxfId="2287" priority="1786" operator="between">
      <formula>0</formula>
      <formula>0.001</formula>
    </cfRule>
    <cfRule type="cellIs" dxfId="2286" priority="1787" operator="between">
      <formula>0.01</formula>
      <formula>0.1</formula>
    </cfRule>
  </conditionalFormatting>
  <conditionalFormatting sqref="N45">
    <cfRule type="cellIs" dxfId="2285" priority="1776" operator="greaterThanOrEqual">
      <formula>10</formula>
    </cfRule>
    <cfRule type="cellIs" dxfId="2284" priority="1777" operator="between">
      <formula>1</formula>
      <formula>10</formula>
    </cfRule>
    <cfRule type="cellIs" dxfId="2283" priority="1778" operator="between">
      <formula>0.1</formula>
      <formula>1</formula>
    </cfRule>
    <cfRule type="cellIs" dxfId="2282" priority="1779" operator="between">
      <formula>0.001</formula>
      <formula>0.01</formula>
    </cfRule>
    <cfRule type="cellIs" dxfId="2281" priority="1780" operator="between">
      <formula>0</formula>
      <formula>0.001</formula>
    </cfRule>
    <cfRule type="cellIs" dxfId="2280" priority="1781" operator="between">
      <formula>0.01</formula>
      <formula>0.1</formula>
    </cfRule>
  </conditionalFormatting>
  <conditionalFormatting sqref="L46:L48">
    <cfRule type="cellIs" dxfId="2279" priority="1770" operator="greaterThanOrEqual">
      <formula>10</formula>
    </cfRule>
    <cfRule type="cellIs" dxfId="2278" priority="1771" operator="between">
      <formula>1</formula>
      <formula>10</formula>
    </cfRule>
    <cfRule type="cellIs" dxfId="2277" priority="1772" operator="between">
      <formula>0.1</formula>
      <formula>1</formula>
    </cfRule>
    <cfRule type="cellIs" dxfId="2276" priority="1773" operator="between">
      <formula>0.001</formula>
      <formula>0.01</formula>
    </cfRule>
    <cfRule type="cellIs" dxfId="2275" priority="1774" operator="between">
      <formula>0</formula>
      <formula>0.001</formula>
    </cfRule>
    <cfRule type="cellIs" dxfId="2274" priority="1775" operator="between">
      <formula>0.01</formula>
      <formula>0.1</formula>
    </cfRule>
  </conditionalFormatting>
  <conditionalFormatting sqref="L46:M48">
    <cfRule type="cellIs" dxfId="2273" priority="1769" operator="equal">
      <formula>0</formula>
    </cfRule>
  </conditionalFormatting>
  <conditionalFormatting sqref="N46:N48">
    <cfRule type="cellIs" dxfId="2272" priority="1763" operator="greaterThanOrEqual">
      <formula>10</formula>
    </cfRule>
    <cfRule type="cellIs" dxfId="2271" priority="1764" operator="between">
      <formula>1</formula>
      <formula>10</formula>
    </cfRule>
    <cfRule type="cellIs" dxfId="2270" priority="1765" operator="between">
      <formula>0.1</formula>
      <formula>1</formula>
    </cfRule>
    <cfRule type="cellIs" dxfId="2269" priority="1766" operator="between">
      <formula>0.001</formula>
      <formula>0.01</formula>
    </cfRule>
    <cfRule type="cellIs" dxfId="2268" priority="1767" operator="between">
      <formula>0</formula>
      <formula>0.001</formula>
    </cfRule>
    <cfRule type="cellIs" dxfId="2267" priority="1768" operator="between">
      <formula>0.01</formula>
      <formula>0.1</formula>
    </cfRule>
  </conditionalFormatting>
  <conditionalFormatting sqref="N46:N48">
    <cfRule type="cellIs" dxfId="2266" priority="1762" operator="equal">
      <formula>0</formula>
    </cfRule>
  </conditionalFormatting>
  <conditionalFormatting sqref="Q45">
    <cfRule type="cellIs" dxfId="2265" priority="1756" operator="greaterThanOrEqual">
      <formula>10</formula>
    </cfRule>
    <cfRule type="cellIs" dxfId="2264" priority="1757" operator="between">
      <formula>1</formula>
      <formula>10</formula>
    </cfRule>
    <cfRule type="cellIs" dxfId="2263" priority="1758" operator="between">
      <formula>0.1</formula>
      <formula>1</formula>
    </cfRule>
    <cfRule type="cellIs" dxfId="2262" priority="1759" operator="between">
      <formula>0.001</formula>
      <formula>0.01</formula>
    </cfRule>
    <cfRule type="cellIs" dxfId="2261" priority="1760" operator="between">
      <formula>0</formula>
      <formula>0.001</formula>
    </cfRule>
    <cfRule type="cellIs" dxfId="2260" priority="1761" operator="between">
      <formula>0.01</formula>
      <formula>0.1</formula>
    </cfRule>
  </conditionalFormatting>
  <conditionalFormatting sqref="S45">
    <cfRule type="cellIs" dxfId="2259" priority="1750" operator="greaterThanOrEqual">
      <formula>10</formula>
    </cfRule>
    <cfRule type="cellIs" dxfId="2258" priority="1751" operator="between">
      <formula>1</formula>
      <formula>10</formula>
    </cfRule>
    <cfRule type="cellIs" dxfId="2257" priority="1752" operator="between">
      <formula>0.1</formula>
      <formula>1</formula>
    </cfRule>
    <cfRule type="cellIs" dxfId="2256" priority="1753" operator="between">
      <formula>0.001</formula>
      <formula>0.01</formula>
    </cfRule>
    <cfRule type="cellIs" dxfId="2255" priority="1754" operator="between">
      <formula>0</formula>
      <formula>0.001</formula>
    </cfRule>
    <cfRule type="cellIs" dxfId="2254" priority="1755" operator="between">
      <formula>0.01</formula>
      <formula>0.1</formula>
    </cfRule>
  </conditionalFormatting>
  <conditionalFormatting sqref="S45">
    <cfRule type="cellIs" dxfId="2253" priority="1744" operator="greaterThanOrEqual">
      <formula>10</formula>
    </cfRule>
    <cfRule type="cellIs" dxfId="2252" priority="1745" operator="between">
      <formula>1</formula>
      <formula>10</formula>
    </cfRule>
    <cfRule type="cellIs" dxfId="2251" priority="1746" operator="between">
      <formula>0.1</formula>
      <formula>1</formula>
    </cfRule>
    <cfRule type="cellIs" dxfId="2250" priority="1747" operator="between">
      <formula>0.001</formula>
      <formula>0.01</formula>
    </cfRule>
    <cfRule type="cellIs" dxfId="2249" priority="1748" operator="between">
      <formula>0</formula>
      <formula>0.001</formula>
    </cfRule>
    <cfRule type="cellIs" dxfId="2248" priority="1749" operator="between">
      <formula>0.01</formula>
      <formula>0.1</formula>
    </cfRule>
  </conditionalFormatting>
  <conditionalFormatting sqref="S45">
    <cfRule type="cellIs" dxfId="2247" priority="1738" operator="greaterThanOrEqual">
      <formula>10</formula>
    </cfRule>
    <cfRule type="cellIs" dxfId="2246" priority="1739" operator="between">
      <formula>1</formula>
      <formula>10</formula>
    </cfRule>
    <cfRule type="cellIs" dxfId="2245" priority="1740" operator="between">
      <formula>0.1</formula>
      <formula>1</formula>
    </cfRule>
    <cfRule type="cellIs" dxfId="2244" priority="1741" operator="between">
      <formula>0.001</formula>
      <formula>0.01</formula>
    </cfRule>
    <cfRule type="cellIs" dxfId="2243" priority="1742" operator="between">
      <formula>0</formula>
      <formula>0.001</formula>
    </cfRule>
    <cfRule type="cellIs" dxfId="2242" priority="1743" operator="between">
      <formula>0.01</formula>
      <formula>0.1</formula>
    </cfRule>
  </conditionalFormatting>
  <conditionalFormatting sqref="S45">
    <cfRule type="cellIs" dxfId="2241" priority="1732" operator="greaterThanOrEqual">
      <formula>10</formula>
    </cfRule>
    <cfRule type="cellIs" dxfId="2240" priority="1733" operator="between">
      <formula>1</formula>
      <formula>10</formula>
    </cfRule>
    <cfRule type="cellIs" dxfId="2239" priority="1734" operator="between">
      <formula>0.1</formula>
      <formula>1</formula>
    </cfRule>
    <cfRule type="cellIs" dxfId="2238" priority="1735" operator="between">
      <formula>0.001</formula>
      <formula>0.01</formula>
    </cfRule>
    <cfRule type="cellIs" dxfId="2237" priority="1736" operator="between">
      <formula>0</formula>
      <formula>0.001</formula>
    </cfRule>
    <cfRule type="cellIs" dxfId="2236" priority="1737" operator="between">
      <formula>0.01</formula>
      <formula>0.1</formula>
    </cfRule>
  </conditionalFormatting>
  <conditionalFormatting sqref="S45">
    <cfRule type="cellIs" dxfId="2235" priority="1726" operator="greaterThanOrEqual">
      <formula>10</formula>
    </cfRule>
    <cfRule type="cellIs" dxfId="2234" priority="1727" operator="between">
      <formula>1</formula>
      <formula>10</formula>
    </cfRule>
    <cfRule type="cellIs" dxfId="2233" priority="1728" operator="between">
      <formula>0.1</formula>
      <formula>1</formula>
    </cfRule>
    <cfRule type="cellIs" dxfId="2232" priority="1729" operator="between">
      <formula>0.001</formula>
      <formula>0.01</formula>
    </cfRule>
    <cfRule type="cellIs" dxfId="2231" priority="1730" operator="between">
      <formula>0</formula>
      <formula>0.001</formula>
    </cfRule>
    <cfRule type="cellIs" dxfId="2230" priority="1731" operator="between">
      <formula>0.01</formula>
      <formula>0.1</formula>
    </cfRule>
  </conditionalFormatting>
  <conditionalFormatting sqref="Q46:Q48">
    <cfRule type="cellIs" dxfId="2229" priority="1720" operator="greaterThanOrEqual">
      <formula>10</formula>
    </cfRule>
    <cfRule type="cellIs" dxfId="2228" priority="1721" operator="between">
      <formula>1</formula>
      <formula>10</formula>
    </cfRule>
    <cfRule type="cellIs" dxfId="2227" priority="1722" operator="between">
      <formula>0.1</formula>
      <formula>1</formula>
    </cfRule>
    <cfRule type="cellIs" dxfId="2226" priority="1723" operator="between">
      <formula>0.001</formula>
      <formula>0.01</formula>
    </cfRule>
    <cfRule type="cellIs" dxfId="2225" priority="1724" operator="between">
      <formula>0</formula>
      <formula>0.001</formula>
    </cfRule>
    <cfRule type="cellIs" dxfId="2224" priority="1725" operator="between">
      <formula>0.01</formula>
      <formula>0.1</formula>
    </cfRule>
  </conditionalFormatting>
  <conditionalFormatting sqref="Q46:R48">
    <cfRule type="cellIs" dxfId="2223" priority="1719" operator="equal">
      <formula>0</formula>
    </cfRule>
  </conditionalFormatting>
  <conditionalFormatting sqref="S46:S48">
    <cfRule type="cellIs" dxfId="2222" priority="1713" operator="greaterThanOrEqual">
      <formula>10</formula>
    </cfRule>
    <cfRule type="cellIs" dxfId="2221" priority="1714" operator="between">
      <formula>1</formula>
      <formula>10</formula>
    </cfRule>
    <cfRule type="cellIs" dxfId="2220" priority="1715" operator="between">
      <formula>0.1</formula>
      <formula>1</formula>
    </cfRule>
    <cfRule type="cellIs" dxfId="2219" priority="1716" operator="between">
      <formula>0.001</formula>
      <formula>0.01</formula>
    </cfRule>
    <cfRule type="cellIs" dxfId="2218" priority="1717" operator="between">
      <formula>0</formula>
      <formula>0.001</formula>
    </cfRule>
    <cfRule type="cellIs" dxfId="2217" priority="1718" operator="between">
      <formula>0.01</formula>
      <formula>0.1</formula>
    </cfRule>
  </conditionalFormatting>
  <conditionalFormatting sqref="B43:T52">
    <cfRule type="cellIs" dxfId="2216" priority="1712" operator="equal">
      <formula>0</formula>
    </cfRule>
  </conditionalFormatting>
  <conditionalFormatting sqref="I35 G35 K35">
    <cfRule type="cellIs" dxfId="2215" priority="1708" operator="between">
      <formula>0.001</formula>
      <formula>0.01</formula>
    </cfRule>
    <cfRule type="cellIs" dxfId="2214" priority="1709" operator="between">
      <formula>0.1</formula>
      <formula>1</formula>
    </cfRule>
    <cfRule type="cellIs" dxfId="2213" priority="1710" operator="greaterThanOrEqual">
      <formula>1</formula>
    </cfRule>
    <cfRule type="cellIs" dxfId="2212" priority="1711" operator="between">
      <formula>0.01</formula>
      <formula>0.1</formula>
    </cfRule>
  </conditionalFormatting>
  <conditionalFormatting sqref="G35 K35">
    <cfRule type="expression" dxfId="2211" priority="1706">
      <formula>$B$29&lt;=1</formula>
    </cfRule>
    <cfRule type="expression" dxfId="2210" priority="1707">
      <formula>$B$29&gt;1</formula>
    </cfRule>
  </conditionalFormatting>
  <conditionalFormatting sqref="G35:K35">
    <cfRule type="cellIs" dxfId="2209" priority="1704" operator="equal">
      <formula>0</formula>
    </cfRule>
    <cfRule type="cellIs" dxfId="2208" priority="1705" operator="between">
      <formula>0.0001</formula>
      <formula>0.001</formula>
    </cfRule>
  </conditionalFormatting>
  <conditionalFormatting sqref="H35 J35">
    <cfRule type="cellIs" dxfId="2207" priority="1700" operator="between">
      <formula>0.001</formula>
      <formula>0.01</formula>
    </cfRule>
    <cfRule type="cellIs" dxfId="2206" priority="1701" operator="between">
      <formula>0.1</formula>
      <formula>1</formula>
    </cfRule>
    <cfRule type="cellIs" dxfId="2205" priority="1702" operator="greaterThanOrEqual">
      <formula>1</formula>
    </cfRule>
    <cfRule type="cellIs" dxfId="2204" priority="1703" operator="between">
      <formula>0.01</formula>
      <formula>0.1</formula>
    </cfRule>
  </conditionalFormatting>
  <conditionalFormatting sqref="J35">
    <cfRule type="expression" dxfId="2203" priority="1694">
      <formula>$B$29&gt;1</formula>
    </cfRule>
    <cfRule type="expression" dxfId="2202" priority="1697">
      <formula>$B$29&lt;=1</formula>
    </cfRule>
  </conditionalFormatting>
  <conditionalFormatting sqref="I35">
    <cfRule type="expression" dxfId="2201" priority="1695">
      <formula>$B$29&gt;1</formula>
    </cfRule>
    <cfRule type="expression" dxfId="2200" priority="1698">
      <formula>$B$29&lt;=1</formula>
    </cfRule>
  </conditionalFormatting>
  <conditionalFormatting sqref="H35">
    <cfRule type="expression" dxfId="2199" priority="1696">
      <formula>$B$29&gt;1</formula>
    </cfRule>
    <cfRule type="expression" dxfId="2198" priority="1699">
      <formula>$B$29&lt;=1</formula>
    </cfRule>
  </conditionalFormatting>
  <conditionalFormatting sqref="B39:U39">
    <cfRule type="cellIs" dxfId="2197" priority="1690" operator="between">
      <formula>0.001</formula>
      <formula>0.01</formula>
    </cfRule>
    <cfRule type="cellIs" dxfId="2196" priority="1691" operator="between">
      <formula>0.1</formula>
      <formula>1</formula>
    </cfRule>
    <cfRule type="cellIs" dxfId="2195" priority="1692" operator="greaterThanOrEqual">
      <formula>1</formula>
    </cfRule>
    <cfRule type="cellIs" dxfId="2194" priority="1693" operator="between">
      <formula>0.01</formula>
      <formula>0.1</formula>
    </cfRule>
  </conditionalFormatting>
  <conditionalFormatting sqref="B39:U39">
    <cfRule type="cellIs" dxfId="2193" priority="1686" operator="equal">
      <formula>0</formula>
    </cfRule>
    <cfRule type="cellIs" dxfId="2192" priority="1687" operator="between">
      <formula>0.0001</formula>
      <formula>0.001</formula>
    </cfRule>
  </conditionalFormatting>
  <conditionalFormatting sqref="B39">
    <cfRule type="expression" dxfId="2191" priority="1688">
      <formula>B39&lt;=1</formula>
    </cfRule>
    <cfRule type="expression" dxfId="2190" priority="1689">
      <formula>B39&gt;1</formula>
    </cfRule>
  </conditionalFormatting>
  <conditionalFormatting sqref="C39">
    <cfRule type="expression" dxfId="2189" priority="1678">
      <formula>C39&gt;1</formula>
    </cfRule>
    <cfRule type="expression" dxfId="2188" priority="1682">
      <formula>C39&lt;=1</formula>
    </cfRule>
  </conditionalFormatting>
  <conditionalFormatting sqref="D39">
    <cfRule type="expression" dxfId="2187" priority="1679">
      <formula>D39&gt;1</formula>
    </cfRule>
    <cfRule type="expression" dxfId="2186" priority="1683">
      <formula>D39&lt;=1</formula>
    </cfRule>
  </conditionalFormatting>
  <conditionalFormatting sqref="E39">
    <cfRule type="expression" dxfId="2185" priority="1680">
      <formula>E39&gt;1</formula>
    </cfRule>
    <cfRule type="expression" dxfId="2184" priority="1684">
      <formula>E39&lt;=1</formula>
    </cfRule>
  </conditionalFormatting>
  <conditionalFormatting sqref="F39">
    <cfRule type="expression" dxfId="2183" priority="1681">
      <formula>F39&gt;1</formula>
    </cfRule>
    <cfRule type="expression" dxfId="2182" priority="1685">
      <formula>F39&lt;=1</formula>
    </cfRule>
  </conditionalFormatting>
  <conditionalFormatting sqref="B35:F35">
    <cfRule type="cellIs" dxfId="2181" priority="1674" operator="between">
      <formula>0.001</formula>
      <formula>0.01</formula>
    </cfRule>
    <cfRule type="cellIs" dxfId="2180" priority="1675" operator="between">
      <formula>0.1</formula>
      <formula>1</formula>
    </cfRule>
    <cfRule type="cellIs" dxfId="2179" priority="1676" operator="greaterThanOrEqual">
      <formula>1</formula>
    </cfRule>
    <cfRule type="cellIs" dxfId="2178" priority="1677" operator="between">
      <formula>0.01</formula>
      <formula>0.1</formula>
    </cfRule>
  </conditionalFormatting>
  <conditionalFormatting sqref="B35:F35">
    <cfRule type="cellIs" dxfId="2177" priority="1670" operator="equal">
      <formula>0</formula>
    </cfRule>
    <cfRule type="cellIs" dxfId="2176" priority="1671" operator="between">
      <formula>0.0001</formula>
      <formula>0.001</formula>
    </cfRule>
  </conditionalFormatting>
  <conditionalFormatting sqref="B35">
    <cfRule type="expression" dxfId="2175" priority="1672">
      <formula>B35&lt;=1</formula>
    </cfRule>
    <cfRule type="expression" dxfId="2174" priority="1673">
      <formula>B35&gt;1</formula>
    </cfRule>
  </conditionalFormatting>
  <conditionalFormatting sqref="C35">
    <cfRule type="expression" dxfId="2173" priority="1662">
      <formula>C35&gt;1</formula>
    </cfRule>
    <cfRule type="expression" dxfId="2172" priority="1666">
      <formula>C35&lt;=1</formula>
    </cfRule>
  </conditionalFormatting>
  <conditionalFormatting sqref="D35">
    <cfRule type="expression" dxfId="2171" priority="1663">
      <formula>D35&gt;1</formula>
    </cfRule>
    <cfRule type="expression" dxfId="2170" priority="1667">
      <formula>D35&lt;=1</formula>
    </cfRule>
  </conditionalFormatting>
  <conditionalFormatting sqref="E35">
    <cfRule type="expression" dxfId="2169" priority="1664">
      <formula>E35&gt;1</formula>
    </cfRule>
    <cfRule type="expression" dxfId="2168" priority="1668">
      <formula>E35&lt;=1</formula>
    </cfRule>
  </conditionalFormatting>
  <conditionalFormatting sqref="F35">
    <cfRule type="expression" dxfId="2167" priority="1665">
      <formula>F35&gt;1</formula>
    </cfRule>
    <cfRule type="expression" dxfId="2166" priority="1669">
      <formula>F35&lt;=1</formula>
    </cfRule>
  </conditionalFormatting>
  <conditionalFormatting sqref="G39">
    <cfRule type="expression" dxfId="2165" priority="1660">
      <formula>G39&lt;=1</formula>
    </cfRule>
    <cfRule type="expression" dxfId="2164" priority="1661">
      <formula>G39&gt;1</formula>
    </cfRule>
  </conditionalFormatting>
  <conditionalFormatting sqref="H39">
    <cfRule type="expression" dxfId="2163" priority="1652">
      <formula>H39&gt;1</formula>
    </cfRule>
    <cfRule type="expression" dxfId="2162" priority="1656">
      <formula>H39&lt;=1</formula>
    </cfRule>
  </conditionalFormatting>
  <conditionalFormatting sqref="I39">
    <cfRule type="expression" dxfId="2161" priority="1653">
      <formula>I39&gt;1</formula>
    </cfRule>
    <cfRule type="expression" dxfId="2160" priority="1657">
      <formula>I39&lt;=1</formula>
    </cfRule>
  </conditionalFormatting>
  <conditionalFormatting sqref="J39">
    <cfRule type="expression" dxfId="2159" priority="1654">
      <formula>J39&gt;1</formula>
    </cfRule>
    <cfRule type="expression" dxfId="2158" priority="1658">
      <formula>J39&lt;=1</formula>
    </cfRule>
  </conditionalFormatting>
  <conditionalFormatting sqref="K39">
    <cfRule type="expression" dxfId="2157" priority="1655">
      <formula>K39&gt;1</formula>
    </cfRule>
    <cfRule type="expression" dxfId="2156" priority="1659">
      <formula>K39&lt;=1</formula>
    </cfRule>
  </conditionalFormatting>
  <conditionalFormatting sqref="L39">
    <cfRule type="expression" dxfId="2155" priority="1650">
      <formula>L39&lt;=1</formula>
    </cfRule>
    <cfRule type="expression" dxfId="2154" priority="1651">
      <formula>L39&gt;1</formula>
    </cfRule>
  </conditionalFormatting>
  <conditionalFormatting sqref="M39">
    <cfRule type="expression" dxfId="2153" priority="1642">
      <formula>M39&gt;1</formula>
    </cfRule>
    <cfRule type="expression" dxfId="2152" priority="1646">
      <formula>M39&lt;=1</formula>
    </cfRule>
  </conditionalFormatting>
  <conditionalFormatting sqref="N39">
    <cfRule type="expression" dxfId="2151" priority="1643">
      <formula>N39&gt;1</formula>
    </cfRule>
    <cfRule type="expression" dxfId="2150" priority="1647">
      <formula>N39&lt;=1</formula>
    </cfRule>
  </conditionalFormatting>
  <conditionalFormatting sqref="O39">
    <cfRule type="expression" dxfId="2149" priority="1644">
      <formula>O39&gt;1</formula>
    </cfRule>
    <cfRule type="expression" dxfId="2148" priority="1648">
      <formula>O39&lt;=1</formula>
    </cfRule>
  </conditionalFormatting>
  <conditionalFormatting sqref="P39">
    <cfRule type="expression" dxfId="2147" priority="1645">
      <formula>P39&gt;1</formula>
    </cfRule>
    <cfRule type="expression" dxfId="2146" priority="1649">
      <formula>P39&lt;=1</formula>
    </cfRule>
  </conditionalFormatting>
  <conditionalFormatting sqref="Q39">
    <cfRule type="expression" dxfId="2145" priority="1640">
      <formula>Q39&lt;=1</formula>
    </cfRule>
    <cfRule type="expression" dxfId="2144" priority="1641">
      <formula>Q39&gt;1</formula>
    </cfRule>
  </conditionalFormatting>
  <conditionalFormatting sqref="R39">
    <cfRule type="expression" dxfId="2143" priority="1632">
      <formula>R39&gt;1</formula>
    </cfRule>
    <cfRule type="expression" dxfId="2142" priority="1636">
      <formula>R39&lt;=1</formula>
    </cfRule>
  </conditionalFormatting>
  <conditionalFormatting sqref="S39">
    <cfRule type="expression" dxfId="2141" priority="1633">
      <formula>S39&gt;1</formula>
    </cfRule>
    <cfRule type="expression" dxfId="2140" priority="1637">
      <formula>S39&lt;=1</formula>
    </cfRule>
  </conditionalFormatting>
  <conditionalFormatting sqref="T39">
    <cfRule type="expression" dxfId="2139" priority="1634">
      <formula>T39&gt;1</formula>
    </cfRule>
    <cfRule type="expression" dxfId="2138" priority="1638">
      <formula>T39&lt;=1</formula>
    </cfRule>
  </conditionalFormatting>
  <conditionalFormatting sqref="U39">
    <cfRule type="expression" dxfId="2137" priority="1635">
      <formula>U39&gt;1</formula>
    </cfRule>
    <cfRule type="expression" dxfId="2136" priority="1639">
      <formula>U39&lt;=1</formula>
    </cfRule>
  </conditionalFormatting>
  <conditionalFormatting sqref="L35:U35">
    <cfRule type="cellIs" dxfId="2135" priority="1628" operator="between">
      <formula>0.001</formula>
      <formula>0.01</formula>
    </cfRule>
    <cfRule type="cellIs" dxfId="2134" priority="1629" operator="between">
      <formula>0.1</formula>
      <formula>1</formula>
    </cfRule>
    <cfRule type="cellIs" dxfId="2133" priority="1630" operator="greaterThanOrEqual">
      <formula>1</formula>
    </cfRule>
    <cfRule type="cellIs" dxfId="2132" priority="1631" operator="between">
      <formula>0.01</formula>
      <formula>0.1</formula>
    </cfRule>
  </conditionalFormatting>
  <conditionalFormatting sqref="L35:U35">
    <cfRule type="cellIs" dxfId="2131" priority="1626" operator="equal">
      <formula>0</formula>
    </cfRule>
    <cfRule type="cellIs" dxfId="2130" priority="1627" operator="between">
      <formula>0.0001</formula>
      <formula>0.001</formula>
    </cfRule>
  </conditionalFormatting>
  <conditionalFormatting sqref="L35">
    <cfRule type="expression" dxfId="2129" priority="1624">
      <formula>L35&lt;=1</formula>
    </cfRule>
    <cfRule type="expression" dxfId="2128" priority="1625">
      <formula>L35&gt;1</formula>
    </cfRule>
  </conditionalFormatting>
  <conditionalFormatting sqref="M35">
    <cfRule type="expression" dxfId="2127" priority="1616">
      <formula>M35&gt;1</formula>
    </cfRule>
    <cfRule type="expression" dxfId="2126" priority="1620">
      <formula>M35&lt;=1</formula>
    </cfRule>
  </conditionalFormatting>
  <conditionalFormatting sqref="N35">
    <cfRule type="expression" dxfId="2125" priority="1617">
      <formula>N35&gt;1</formula>
    </cfRule>
    <cfRule type="expression" dxfId="2124" priority="1621">
      <formula>N35&lt;=1</formula>
    </cfRule>
  </conditionalFormatting>
  <conditionalFormatting sqref="O35">
    <cfRule type="expression" dxfId="2123" priority="1618">
      <formula>O35&gt;1</formula>
    </cfRule>
    <cfRule type="expression" dxfId="2122" priority="1622">
      <formula>O35&lt;=1</formula>
    </cfRule>
  </conditionalFormatting>
  <conditionalFormatting sqref="P35">
    <cfRule type="expression" dxfId="2121" priority="1619">
      <formula>P35&gt;1</formula>
    </cfRule>
    <cfRule type="expression" dxfId="2120" priority="1623">
      <formula>P35&lt;=1</formula>
    </cfRule>
  </conditionalFormatting>
  <conditionalFormatting sqref="Q35">
    <cfRule type="expression" dxfId="2119" priority="1614">
      <formula>Q35&lt;=1</formula>
    </cfRule>
    <cfRule type="expression" dxfId="2118" priority="1615">
      <formula>Q35&gt;1</formula>
    </cfRule>
  </conditionalFormatting>
  <conditionalFormatting sqref="R35">
    <cfRule type="expression" dxfId="2117" priority="1606">
      <formula>R35&gt;1</formula>
    </cfRule>
    <cfRule type="expression" dxfId="2116" priority="1610">
      <formula>R35&lt;=1</formula>
    </cfRule>
  </conditionalFormatting>
  <conditionalFormatting sqref="S35">
    <cfRule type="expression" dxfId="2115" priority="1607">
      <formula>S35&gt;1</formula>
    </cfRule>
    <cfRule type="expression" dxfId="2114" priority="1611">
      <formula>S35&lt;=1</formula>
    </cfRule>
  </conditionalFormatting>
  <conditionalFormatting sqref="T35">
    <cfRule type="expression" dxfId="2113" priority="1608">
      <formula>T35&gt;1</formula>
    </cfRule>
    <cfRule type="expression" dxfId="2112" priority="1612">
      <formula>T35&lt;=1</formula>
    </cfRule>
  </conditionalFormatting>
  <conditionalFormatting sqref="U35">
    <cfRule type="expression" dxfId="2111" priority="1609">
      <formula>U35&gt;1</formula>
    </cfRule>
    <cfRule type="expression" dxfId="2110" priority="1613">
      <formula>U35&lt;=1</formula>
    </cfRule>
  </conditionalFormatting>
  <conditionalFormatting sqref="B37:U38 B33:U34">
    <cfRule type="cellIs" dxfId="2109" priority="1605" operator="between">
      <formula>0</formula>
      <formula>0.0001</formula>
    </cfRule>
    <cfRule type="cellIs" dxfId="2108" priority="2626" operator="greaterThanOrEqual">
      <formula>10</formula>
    </cfRule>
    <cfRule type="cellIs" dxfId="2107" priority="2627" operator="between">
      <formula>1</formula>
      <formula>10</formula>
    </cfRule>
    <cfRule type="cellIs" dxfId="2106" priority="2628" operator="between">
      <formula>0.1</formula>
      <formula>1</formula>
    </cfRule>
    <cfRule type="cellIs" dxfId="2105" priority="2629" operator="between">
      <formula>0.001</formula>
      <formula>0.01</formula>
    </cfRule>
    <cfRule type="cellIs" dxfId="2104" priority="2630" operator="between">
      <formula>0.0001</formula>
      <formula>0.001</formula>
    </cfRule>
    <cfRule type="cellIs" dxfId="2103" priority="2631" operator="between">
      <formula>0.01</formula>
      <formula>0.1</formula>
    </cfRule>
  </conditionalFormatting>
  <conditionalFormatting sqref="B54:B57">
    <cfRule type="cellIs" dxfId="2102" priority="1598" operator="between">
      <formula>0</formula>
      <formula>0.0001</formula>
    </cfRule>
    <cfRule type="cellIs" dxfId="2101" priority="1599" operator="greaterThanOrEqual">
      <formula>10</formula>
    </cfRule>
    <cfRule type="cellIs" dxfId="2100" priority="1600" operator="between">
      <formula>1</formula>
      <formula>10</formula>
    </cfRule>
    <cfRule type="cellIs" dxfId="2099" priority="1601" operator="between">
      <formula>0.1</formula>
      <formula>1</formula>
    </cfRule>
    <cfRule type="cellIs" dxfId="2098" priority="1602" operator="between">
      <formula>0.001</formula>
      <formula>0.01</formula>
    </cfRule>
    <cfRule type="cellIs" dxfId="2097" priority="1603" operator="between">
      <formula>0.0001</formula>
      <formula>0.001</formula>
    </cfRule>
    <cfRule type="cellIs" dxfId="2096" priority="1604" operator="between">
      <formula>0.01</formula>
      <formula>0.1</formula>
    </cfRule>
  </conditionalFormatting>
  <conditionalFormatting sqref="B43:B52">
    <cfRule type="cellIs" dxfId="2095" priority="1591" operator="between">
      <formula>0.00000000001</formula>
      <formula>0.0001</formula>
    </cfRule>
    <cfRule type="cellIs" dxfId="2094" priority="1592" operator="greaterThanOrEqual">
      <formula>10</formula>
    </cfRule>
    <cfRule type="cellIs" dxfId="2093" priority="1593" operator="between">
      <formula>1</formula>
      <formula>10</formula>
    </cfRule>
    <cfRule type="cellIs" dxfId="2092" priority="1594" operator="between">
      <formula>0.1</formula>
      <formula>1</formula>
    </cfRule>
    <cfRule type="cellIs" dxfId="2091" priority="1595" operator="between">
      <formula>0.001</formula>
      <formula>0.01</formula>
    </cfRule>
    <cfRule type="cellIs" dxfId="2090" priority="1596" operator="between">
      <formula>0.0001</formula>
      <formula>0.001</formula>
    </cfRule>
    <cfRule type="cellIs" dxfId="2089" priority="1597" operator="between">
      <formula>0.01</formula>
      <formula>0.1</formula>
    </cfRule>
  </conditionalFormatting>
  <conditionalFormatting sqref="G54:G57">
    <cfRule type="cellIs" dxfId="2088" priority="1584" operator="between">
      <formula>0</formula>
      <formula>0.0001</formula>
    </cfRule>
    <cfRule type="cellIs" dxfId="2087" priority="1585" operator="greaterThanOrEqual">
      <formula>10</formula>
    </cfRule>
    <cfRule type="cellIs" dxfId="2086" priority="1586" operator="between">
      <formula>1</formula>
      <formula>10</formula>
    </cfRule>
    <cfRule type="cellIs" dxfId="2085" priority="1587" operator="between">
      <formula>0.1</formula>
      <formula>1</formula>
    </cfRule>
    <cfRule type="cellIs" dxfId="2084" priority="1588" operator="between">
      <formula>0.001</formula>
      <formula>0.01</formula>
    </cfRule>
    <cfRule type="cellIs" dxfId="2083" priority="1589" operator="between">
      <formula>0.0001</formula>
      <formula>0.001</formula>
    </cfRule>
    <cfRule type="cellIs" dxfId="2082" priority="1590" operator="between">
      <formula>0.01</formula>
      <formula>0.1</formula>
    </cfRule>
  </conditionalFormatting>
  <conditionalFormatting sqref="L54">
    <cfRule type="cellIs" dxfId="2081" priority="1578" operator="greaterThanOrEqual">
      <formula>10</formula>
    </cfRule>
    <cfRule type="cellIs" dxfId="2080" priority="1579" operator="between">
      <formula>1</formula>
      <formula>10</formula>
    </cfRule>
    <cfRule type="cellIs" dxfId="2079" priority="1580" operator="between">
      <formula>0.1</formula>
      <formula>1</formula>
    </cfRule>
    <cfRule type="cellIs" dxfId="2078" priority="1581" operator="between">
      <formula>0.001</formula>
      <formula>0.01</formula>
    </cfRule>
    <cfRule type="cellIs" dxfId="2077" priority="1582" operator="between">
      <formula>0</formula>
      <formula>0.001</formula>
    </cfRule>
    <cfRule type="cellIs" dxfId="2076" priority="1583" operator="between">
      <formula>0.01</formula>
      <formula>0.1</formula>
    </cfRule>
  </conditionalFormatting>
  <conditionalFormatting sqref="L54:M54">
    <cfRule type="cellIs" dxfId="2075" priority="1577" operator="equal">
      <formula>0</formula>
    </cfRule>
  </conditionalFormatting>
  <conditionalFormatting sqref="L55:L57">
    <cfRule type="cellIs" dxfId="2074" priority="1571" operator="greaterThanOrEqual">
      <formula>10</formula>
    </cfRule>
    <cfRule type="cellIs" dxfId="2073" priority="1572" operator="between">
      <formula>1</formula>
      <formula>10</formula>
    </cfRule>
    <cfRule type="cellIs" dxfId="2072" priority="1573" operator="between">
      <formula>0.1</formula>
      <formula>1</formula>
    </cfRule>
    <cfRule type="cellIs" dxfId="2071" priority="1574" operator="between">
      <formula>0.001</formula>
      <formula>0.01</formula>
    </cfRule>
    <cfRule type="cellIs" dxfId="2070" priority="1575" operator="between">
      <formula>0</formula>
      <formula>0.001</formula>
    </cfRule>
    <cfRule type="cellIs" dxfId="2069" priority="1576" operator="between">
      <formula>0.01</formula>
      <formula>0.1</formula>
    </cfRule>
  </conditionalFormatting>
  <conditionalFormatting sqref="L55:L57">
    <cfRule type="cellIs" dxfId="2068" priority="1570" operator="equal">
      <formula>0</formula>
    </cfRule>
  </conditionalFormatting>
  <conditionalFormatting sqref="N55 N57">
    <cfRule type="cellIs" dxfId="2067" priority="1564" operator="greaterThanOrEqual">
      <formula>10</formula>
    </cfRule>
    <cfRule type="cellIs" dxfId="2066" priority="1565" operator="between">
      <formula>1</formula>
      <formula>10</formula>
    </cfRule>
    <cfRule type="cellIs" dxfId="2065" priority="1566" operator="between">
      <formula>0.1</formula>
      <formula>1</formula>
    </cfRule>
    <cfRule type="cellIs" dxfId="2064" priority="1567" operator="between">
      <formula>0.001</formula>
      <formula>0.01</formula>
    </cfRule>
    <cfRule type="cellIs" dxfId="2063" priority="1568" operator="between">
      <formula>0</formula>
      <formula>0.001</formula>
    </cfRule>
    <cfRule type="cellIs" dxfId="2062" priority="1569" operator="between">
      <formula>0.01</formula>
      <formula>0.1</formula>
    </cfRule>
  </conditionalFormatting>
  <conditionalFormatting sqref="N55 N57">
    <cfRule type="cellIs" dxfId="2061" priority="1563" operator="equal">
      <formula>0</formula>
    </cfRule>
  </conditionalFormatting>
  <conditionalFormatting sqref="N54 N56">
    <cfRule type="cellIs" dxfId="2060" priority="1557" operator="greaterThanOrEqual">
      <formula>10</formula>
    </cfRule>
    <cfRule type="cellIs" dxfId="2059" priority="1558" operator="between">
      <formula>1</formula>
      <formula>10</formula>
    </cfRule>
    <cfRule type="cellIs" dxfId="2058" priority="1559" operator="between">
      <formula>0.1</formula>
      <formula>1</formula>
    </cfRule>
    <cfRule type="cellIs" dxfId="2057" priority="1560" operator="between">
      <formula>0.001</formula>
      <formula>0.01</formula>
    </cfRule>
    <cfRule type="cellIs" dxfId="2056" priority="1561" operator="between">
      <formula>0</formula>
      <formula>0.001</formula>
    </cfRule>
    <cfRule type="cellIs" dxfId="2055" priority="1562" operator="between">
      <formula>0.01</formula>
      <formula>0.1</formula>
    </cfRule>
  </conditionalFormatting>
  <conditionalFormatting sqref="N54 N56">
    <cfRule type="cellIs" dxfId="2054" priority="1556" operator="equal">
      <formula>0</formula>
    </cfRule>
  </conditionalFormatting>
  <conditionalFormatting sqref="L54:L57">
    <cfRule type="cellIs" dxfId="2053" priority="1549" operator="between">
      <formula>0</formula>
      <formula>0.0001</formula>
    </cfRule>
    <cfRule type="cellIs" dxfId="2052" priority="1550" operator="greaterThanOrEqual">
      <formula>10</formula>
    </cfRule>
    <cfRule type="cellIs" dxfId="2051" priority="1551" operator="between">
      <formula>1</formula>
      <formula>10</formula>
    </cfRule>
    <cfRule type="cellIs" dxfId="2050" priority="1552" operator="between">
      <formula>0.1</formula>
      <formula>1</formula>
    </cfRule>
    <cfRule type="cellIs" dxfId="2049" priority="1553" operator="between">
      <formula>0.001</formula>
      <formula>0.01</formula>
    </cfRule>
    <cfRule type="cellIs" dxfId="2048" priority="1554" operator="between">
      <formula>0.0001</formula>
      <formula>0.001</formula>
    </cfRule>
    <cfRule type="cellIs" dxfId="2047" priority="1555" operator="between">
      <formula>0.01</formula>
      <formula>0.1</formula>
    </cfRule>
  </conditionalFormatting>
  <conditionalFormatting sqref="D55 D57">
    <cfRule type="cellIs" dxfId="2046" priority="1543" operator="greaterThanOrEqual">
      <formula>10</formula>
    </cfRule>
    <cfRule type="cellIs" dxfId="2045" priority="1544" operator="between">
      <formula>1</formula>
      <formula>10</formula>
    </cfRule>
    <cfRule type="cellIs" dxfId="2044" priority="1545" operator="between">
      <formula>0.1</formula>
      <formula>1</formula>
    </cfRule>
    <cfRule type="cellIs" dxfId="2043" priority="1546" operator="between">
      <formula>0.001</formula>
      <formula>0.01</formula>
    </cfRule>
    <cfRule type="cellIs" dxfId="2042" priority="1547" operator="between">
      <formula>0</formula>
      <formula>0.001</formula>
    </cfRule>
    <cfRule type="cellIs" dxfId="2041" priority="1548" operator="between">
      <formula>0.01</formula>
      <formula>0.1</formula>
    </cfRule>
  </conditionalFormatting>
  <conditionalFormatting sqref="D55 D57">
    <cfRule type="cellIs" dxfId="2040" priority="1537" operator="greaterThanOrEqual">
      <formula>10</formula>
    </cfRule>
    <cfRule type="cellIs" dxfId="2039" priority="1538" operator="between">
      <formula>1</formula>
      <formula>10</formula>
    </cfRule>
    <cfRule type="cellIs" dxfId="2038" priority="1539" operator="between">
      <formula>0.1</formula>
      <formula>1</formula>
    </cfRule>
    <cfRule type="cellIs" dxfId="2037" priority="1540" operator="between">
      <formula>0.001</formula>
      <formula>0.01</formula>
    </cfRule>
    <cfRule type="cellIs" dxfId="2036" priority="1541" operator="between">
      <formula>0</formula>
      <formula>0.001</formula>
    </cfRule>
    <cfRule type="cellIs" dxfId="2035" priority="1542" operator="between">
      <formula>0.01</formula>
      <formula>0.1</formula>
    </cfRule>
  </conditionalFormatting>
  <conditionalFormatting sqref="D55 D57">
    <cfRule type="cellIs" dxfId="2034" priority="1531" operator="greaterThanOrEqual">
      <formula>10</formula>
    </cfRule>
    <cfRule type="cellIs" dxfId="2033" priority="1532" operator="between">
      <formula>1</formula>
      <formula>10</formula>
    </cfRule>
    <cfRule type="cellIs" dxfId="2032" priority="1533" operator="between">
      <formula>0.1</formula>
      <formula>1</formula>
    </cfRule>
    <cfRule type="cellIs" dxfId="2031" priority="1534" operator="between">
      <formula>0.001</formula>
      <formula>0.01</formula>
    </cfRule>
    <cfRule type="cellIs" dxfId="2030" priority="1535" operator="between">
      <formula>0</formula>
      <formula>0.001</formula>
    </cfRule>
    <cfRule type="cellIs" dxfId="2029" priority="1536" operator="between">
      <formula>0.01</formula>
      <formula>0.1</formula>
    </cfRule>
  </conditionalFormatting>
  <conditionalFormatting sqref="D55 D57">
    <cfRule type="cellIs" dxfId="2028" priority="1525" operator="greaterThanOrEqual">
      <formula>10</formula>
    </cfRule>
    <cfRule type="cellIs" dxfId="2027" priority="1526" operator="between">
      <formula>1</formula>
      <formula>10</formula>
    </cfRule>
    <cfRule type="cellIs" dxfId="2026" priority="1527" operator="between">
      <formula>0.1</formula>
      <formula>1</formula>
    </cfRule>
    <cfRule type="cellIs" dxfId="2025" priority="1528" operator="between">
      <formula>0.001</formula>
      <formula>0.01</formula>
    </cfRule>
    <cfRule type="cellIs" dxfId="2024" priority="1529" operator="between">
      <formula>0</formula>
      <formula>0.001</formula>
    </cfRule>
    <cfRule type="cellIs" dxfId="2023" priority="1530" operator="between">
      <formula>0.01</formula>
      <formula>0.1</formula>
    </cfRule>
  </conditionalFormatting>
  <conditionalFormatting sqref="D55 D57">
    <cfRule type="cellIs" dxfId="2022" priority="1519" operator="greaterThanOrEqual">
      <formula>10</formula>
    </cfRule>
    <cfRule type="cellIs" dxfId="2021" priority="1520" operator="between">
      <formula>1</formula>
      <formula>10</formula>
    </cfRule>
    <cfRule type="cellIs" dxfId="2020" priority="1521" operator="between">
      <formula>0.1</formula>
      <formula>1</formula>
    </cfRule>
    <cfRule type="cellIs" dxfId="2019" priority="1522" operator="between">
      <formula>0.001</formula>
      <formula>0.01</formula>
    </cfRule>
    <cfRule type="cellIs" dxfId="2018" priority="1523" operator="between">
      <formula>0</formula>
      <formula>0.001</formula>
    </cfRule>
    <cfRule type="cellIs" dxfId="2017" priority="1524" operator="between">
      <formula>0.01</formula>
      <formula>0.1</formula>
    </cfRule>
  </conditionalFormatting>
  <conditionalFormatting sqref="D54 D56">
    <cfRule type="cellIs" dxfId="2016" priority="1513" operator="greaterThanOrEqual">
      <formula>10</formula>
    </cfRule>
    <cfRule type="cellIs" dxfId="2015" priority="1514" operator="between">
      <formula>1</formula>
      <formula>10</formula>
    </cfRule>
    <cfRule type="cellIs" dxfId="2014" priority="1515" operator="between">
      <formula>0.1</formula>
      <formula>1</formula>
    </cfRule>
    <cfRule type="cellIs" dxfId="2013" priority="1516" operator="between">
      <formula>0.001</formula>
      <formula>0.01</formula>
    </cfRule>
    <cfRule type="cellIs" dxfId="2012" priority="1517" operator="between">
      <formula>0</formula>
      <formula>0.001</formula>
    </cfRule>
    <cfRule type="cellIs" dxfId="2011" priority="1518" operator="between">
      <formula>0.01</formula>
      <formula>0.1</formula>
    </cfRule>
  </conditionalFormatting>
  <conditionalFormatting sqref="D54 D56">
    <cfRule type="cellIs" dxfId="2010" priority="1512" operator="equal">
      <formula>0</formula>
    </cfRule>
  </conditionalFormatting>
  <conditionalFormatting sqref="B54:B57">
    <cfRule type="cellIs" dxfId="2009" priority="1505" operator="between">
      <formula>0.00000000001</formula>
      <formula>0.0001</formula>
    </cfRule>
    <cfRule type="cellIs" dxfId="2008" priority="1506" operator="greaterThanOrEqual">
      <formula>10</formula>
    </cfRule>
    <cfRule type="cellIs" dxfId="2007" priority="1507" operator="between">
      <formula>1</formula>
      <formula>10</formula>
    </cfRule>
    <cfRule type="cellIs" dxfId="2006" priority="1508" operator="between">
      <formula>0.1</formula>
      <formula>1</formula>
    </cfRule>
    <cfRule type="cellIs" dxfId="2005" priority="1509" operator="between">
      <formula>0.001</formula>
      <formula>0.01</formula>
    </cfRule>
    <cfRule type="cellIs" dxfId="2004" priority="1510" operator="between">
      <formula>0.0001</formula>
      <formula>0.001</formula>
    </cfRule>
    <cfRule type="cellIs" dxfId="2003" priority="1511" operator="between">
      <formula>0.01</formula>
      <formula>0.1</formula>
    </cfRule>
  </conditionalFormatting>
  <conditionalFormatting sqref="G54:G57">
    <cfRule type="cellIs" dxfId="2002" priority="1498" operator="between">
      <formula>0</formula>
      <formula>0.0001</formula>
    </cfRule>
    <cfRule type="cellIs" dxfId="2001" priority="1499" operator="greaterThanOrEqual">
      <formula>10</formula>
    </cfRule>
    <cfRule type="cellIs" dxfId="2000" priority="1500" operator="between">
      <formula>1</formula>
      <formula>10</formula>
    </cfRule>
    <cfRule type="cellIs" dxfId="1999" priority="1501" operator="between">
      <formula>0.1</formula>
      <formula>1</formula>
    </cfRule>
    <cfRule type="cellIs" dxfId="1998" priority="1502" operator="between">
      <formula>0.001</formula>
      <formula>0.01</formula>
    </cfRule>
    <cfRule type="cellIs" dxfId="1997" priority="1503" operator="between">
      <formula>0.0001</formula>
      <formula>0.001</formula>
    </cfRule>
    <cfRule type="cellIs" dxfId="1996" priority="1504" operator="between">
      <formula>0.01</formula>
      <formula>0.1</formula>
    </cfRule>
  </conditionalFormatting>
  <conditionalFormatting sqref="I55 I57">
    <cfRule type="cellIs" dxfId="1995" priority="1492" operator="greaterThanOrEqual">
      <formula>10</formula>
    </cfRule>
    <cfRule type="cellIs" dxfId="1994" priority="1493" operator="between">
      <formula>1</formula>
      <formula>10</formula>
    </cfRule>
    <cfRule type="cellIs" dxfId="1993" priority="1494" operator="between">
      <formula>0.1</formula>
      <formula>1</formula>
    </cfRule>
    <cfRule type="cellIs" dxfId="1992" priority="1495" operator="between">
      <formula>0.001</formula>
      <formula>0.01</formula>
    </cfRule>
    <cfRule type="cellIs" dxfId="1991" priority="1496" operator="between">
      <formula>0</formula>
      <formula>0.001</formula>
    </cfRule>
    <cfRule type="cellIs" dxfId="1990" priority="1497" operator="between">
      <formula>0.01</formula>
      <formula>0.1</formula>
    </cfRule>
  </conditionalFormatting>
  <conditionalFormatting sqref="I55 I57">
    <cfRule type="cellIs" dxfId="1989" priority="1486" operator="greaterThanOrEqual">
      <formula>10</formula>
    </cfRule>
    <cfRule type="cellIs" dxfId="1988" priority="1487" operator="between">
      <formula>1</formula>
      <formula>10</formula>
    </cfRule>
    <cfRule type="cellIs" dxfId="1987" priority="1488" operator="between">
      <formula>0.1</formula>
      <formula>1</formula>
    </cfRule>
    <cfRule type="cellIs" dxfId="1986" priority="1489" operator="between">
      <formula>0.001</formula>
      <formula>0.01</formula>
    </cfRule>
    <cfRule type="cellIs" dxfId="1985" priority="1490" operator="between">
      <formula>0</formula>
      <formula>0.001</formula>
    </cfRule>
    <cfRule type="cellIs" dxfId="1984" priority="1491" operator="between">
      <formula>0.01</formula>
      <formula>0.1</formula>
    </cfRule>
  </conditionalFormatting>
  <conditionalFormatting sqref="I55 I57">
    <cfRule type="cellIs" dxfId="1983" priority="1480" operator="greaterThanOrEqual">
      <formula>10</formula>
    </cfRule>
    <cfRule type="cellIs" dxfId="1982" priority="1481" operator="between">
      <formula>1</formula>
      <formula>10</formula>
    </cfRule>
    <cfRule type="cellIs" dxfId="1981" priority="1482" operator="between">
      <formula>0.1</formula>
      <formula>1</formula>
    </cfRule>
    <cfRule type="cellIs" dxfId="1980" priority="1483" operator="between">
      <formula>0.001</formula>
      <formula>0.01</formula>
    </cfRule>
    <cfRule type="cellIs" dxfId="1979" priority="1484" operator="between">
      <formula>0</formula>
      <formula>0.001</formula>
    </cfRule>
    <cfRule type="cellIs" dxfId="1978" priority="1485" operator="between">
      <formula>0.01</formula>
      <formula>0.1</formula>
    </cfRule>
  </conditionalFormatting>
  <conditionalFormatting sqref="I55 I57">
    <cfRule type="cellIs" dxfId="1977" priority="1474" operator="greaterThanOrEqual">
      <formula>10</formula>
    </cfRule>
    <cfRule type="cellIs" dxfId="1976" priority="1475" operator="between">
      <formula>1</formula>
      <formula>10</formula>
    </cfRule>
    <cfRule type="cellIs" dxfId="1975" priority="1476" operator="between">
      <formula>0.1</formula>
      <formula>1</formula>
    </cfRule>
    <cfRule type="cellIs" dxfId="1974" priority="1477" operator="between">
      <formula>0.001</formula>
      <formula>0.01</formula>
    </cfRule>
    <cfRule type="cellIs" dxfId="1973" priority="1478" operator="between">
      <formula>0</formula>
      <formula>0.001</formula>
    </cfRule>
    <cfRule type="cellIs" dxfId="1972" priority="1479" operator="between">
      <formula>0.01</formula>
      <formula>0.1</formula>
    </cfRule>
  </conditionalFormatting>
  <conditionalFormatting sqref="I55 I57">
    <cfRule type="cellIs" dxfId="1971" priority="1468" operator="greaterThanOrEqual">
      <formula>10</formula>
    </cfRule>
    <cfRule type="cellIs" dxfId="1970" priority="1469" operator="between">
      <formula>1</formula>
      <formula>10</formula>
    </cfRule>
    <cfRule type="cellIs" dxfId="1969" priority="1470" operator="between">
      <formula>0.1</formula>
      <formula>1</formula>
    </cfRule>
    <cfRule type="cellIs" dxfId="1968" priority="1471" operator="between">
      <formula>0.001</formula>
      <formula>0.01</formula>
    </cfRule>
    <cfRule type="cellIs" dxfId="1967" priority="1472" operator="between">
      <formula>0</formula>
      <formula>0.001</formula>
    </cfRule>
    <cfRule type="cellIs" dxfId="1966" priority="1473" operator="between">
      <formula>0.01</formula>
      <formula>0.1</formula>
    </cfRule>
  </conditionalFormatting>
  <conditionalFormatting sqref="I54 I56">
    <cfRule type="cellIs" dxfId="1965" priority="1462" operator="greaterThanOrEqual">
      <formula>10</formula>
    </cfRule>
    <cfRule type="cellIs" dxfId="1964" priority="1463" operator="between">
      <formula>1</formula>
      <formula>10</formula>
    </cfRule>
    <cfRule type="cellIs" dxfId="1963" priority="1464" operator="between">
      <formula>0.1</formula>
      <formula>1</formula>
    </cfRule>
    <cfRule type="cellIs" dxfId="1962" priority="1465" operator="between">
      <formula>0.001</formula>
      <formula>0.01</formula>
    </cfRule>
    <cfRule type="cellIs" dxfId="1961" priority="1466" operator="between">
      <formula>0</formula>
      <formula>0.001</formula>
    </cfRule>
    <cfRule type="cellIs" dxfId="1960" priority="1467" operator="between">
      <formula>0.01</formula>
      <formula>0.1</formula>
    </cfRule>
  </conditionalFormatting>
  <conditionalFormatting sqref="I54 I56">
    <cfRule type="cellIs" dxfId="1959" priority="1461" operator="equal">
      <formula>0</formula>
    </cfRule>
  </conditionalFormatting>
  <conditionalFormatting sqref="G54:G57">
    <cfRule type="cellIs" dxfId="1958" priority="1454" operator="between">
      <formula>0.00000000001</formula>
      <formula>0.0001</formula>
    </cfRule>
    <cfRule type="cellIs" dxfId="1957" priority="1455" operator="greaterThanOrEqual">
      <formula>10</formula>
    </cfRule>
    <cfRule type="cellIs" dxfId="1956" priority="1456" operator="between">
      <formula>1</formula>
      <formula>10</formula>
    </cfRule>
    <cfRule type="cellIs" dxfId="1955" priority="1457" operator="between">
      <formula>0.1</formula>
      <formula>1</formula>
    </cfRule>
    <cfRule type="cellIs" dxfId="1954" priority="1458" operator="between">
      <formula>0.001</formula>
      <formula>0.01</formula>
    </cfRule>
    <cfRule type="cellIs" dxfId="1953" priority="1459" operator="between">
      <formula>0.0001</formula>
      <formula>0.001</formula>
    </cfRule>
    <cfRule type="cellIs" dxfId="1952" priority="1460" operator="between">
      <formula>0.01</formula>
      <formula>0.1</formula>
    </cfRule>
  </conditionalFormatting>
  <conditionalFormatting sqref="L54">
    <cfRule type="cellIs" dxfId="1951" priority="1448" operator="greaterThanOrEqual">
      <formula>10</formula>
    </cfRule>
    <cfRule type="cellIs" dxfId="1950" priority="1449" operator="between">
      <formula>1</formula>
      <formula>10</formula>
    </cfRule>
    <cfRule type="cellIs" dxfId="1949" priority="1450" operator="between">
      <formula>0.1</formula>
      <formula>1</formula>
    </cfRule>
    <cfRule type="cellIs" dxfId="1948" priority="1451" operator="between">
      <formula>0.001</formula>
      <formula>0.01</formula>
    </cfRule>
    <cfRule type="cellIs" dxfId="1947" priority="1452" operator="between">
      <formula>0</formula>
      <formula>0.001</formula>
    </cfRule>
    <cfRule type="cellIs" dxfId="1946" priority="1453" operator="between">
      <formula>0.01</formula>
      <formula>0.1</formula>
    </cfRule>
  </conditionalFormatting>
  <conditionalFormatting sqref="L54:M54">
    <cfRule type="cellIs" dxfId="1945" priority="1447" operator="equal">
      <formula>0</formula>
    </cfRule>
  </conditionalFormatting>
  <conditionalFormatting sqref="L55:L57">
    <cfRule type="cellIs" dxfId="1944" priority="1441" operator="greaterThanOrEqual">
      <formula>10</formula>
    </cfRule>
    <cfRule type="cellIs" dxfId="1943" priority="1442" operator="between">
      <formula>1</formula>
      <formula>10</formula>
    </cfRule>
    <cfRule type="cellIs" dxfId="1942" priority="1443" operator="between">
      <formula>0.1</formula>
      <formula>1</formula>
    </cfRule>
    <cfRule type="cellIs" dxfId="1941" priority="1444" operator="between">
      <formula>0.001</formula>
      <formula>0.01</formula>
    </cfRule>
    <cfRule type="cellIs" dxfId="1940" priority="1445" operator="between">
      <formula>0</formula>
      <formula>0.001</formula>
    </cfRule>
    <cfRule type="cellIs" dxfId="1939" priority="1446" operator="between">
      <formula>0.01</formula>
      <formula>0.1</formula>
    </cfRule>
  </conditionalFormatting>
  <conditionalFormatting sqref="L55:L57">
    <cfRule type="cellIs" dxfId="1938" priority="1440" operator="equal">
      <formula>0</formula>
    </cfRule>
  </conditionalFormatting>
  <conditionalFormatting sqref="N55 N57">
    <cfRule type="cellIs" dxfId="1937" priority="1434" operator="greaterThanOrEqual">
      <formula>10</formula>
    </cfRule>
    <cfRule type="cellIs" dxfId="1936" priority="1435" operator="between">
      <formula>1</formula>
      <formula>10</formula>
    </cfRule>
    <cfRule type="cellIs" dxfId="1935" priority="1436" operator="between">
      <formula>0.1</formula>
      <formula>1</formula>
    </cfRule>
    <cfRule type="cellIs" dxfId="1934" priority="1437" operator="between">
      <formula>0.001</formula>
      <formula>0.01</formula>
    </cfRule>
    <cfRule type="cellIs" dxfId="1933" priority="1438" operator="between">
      <formula>0</formula>
      <formula>0.001</formula>
    </cfRule>
    <cfRule type="cellIs" dxfId="1932" priority="1439" operator="between">
      <formula>0.01</formula>
      <formula>0.1</formula>
    </cfRule>
  </conditionalFormatting>
  <conditionalFormatting sqref="N55 N57">
    <cfRule type="cellIs" dxfId="1931" priority="1433" operator="equal">
      <formula>0</formula>
    </cfRule>
  </conditionalFormatting>
  <conditionalFormatting sqref="N54 N56">
    <cfRule type="cellIs" dxfId="1930" priority="1427" operator="greaterThanOrEqual">
      <formula>10</formula>
    </cfRule>
    <cfRule type="cellIs" dxfId="1929" priority="1428" operator="between">
      <formula>1</formula>
      <formula>10</formula>
    </cfRule>
    <cfRule type="cellIs" dxfId="1928" priority="1429" operator="between">
      <formula>0.1</formula>
      <formula>1</formula>
    </cfRule>
    <cfRule type="cellIs" dxfId="1927" priority="1430" operator="between">
      <formula>0.001</formula>
      <formula>0.01</formula>
    </cfRule>
    <cfRule type="cellIs" dxfId="1926" priority="1431" operator="between">
      <formula>0</formula>
      <formula>0.001</formula>
    </cfRule>
    <cfRule type="cellIs" dxfId="1925" priority="1432" operator="between">
      <formula>0.01</formula>
      <formula>0.1</formula>
    </cfRule>
  </conditionalFormatting>
  <conditionalFormatting sqref="N54 N56">
    <cfRule type="cellIs" dxfId="1924" priority="1426" operator="equal">
      <formula>0</formula>
    </cfRule>
  </conditionalFormatting>
  <conditionalFormatting sqref="L54:L57">
    <cfRule type="cellIs" dxfId="1923" priority="1419" operator="between">
      <formula>0</formula>
      <formula>0.0001</formula>
    </cfRule>
    <cfRule type="cellIs" dxfId="1922" priority="1420" operator="greaterThanOrEqual">
      <formula>10</formula>
    </cfRule>
    <cfRule type="cellIs" dxfId="1921" priority="1421" operator="between">
      <formula>1</formula>
      <formula>10</formula>
    </cfRule>
    <cfRule type="cellIs" dxfId="1920" priority="1422" operator="between">
      <formula>0.1</formula>
      <formula>1</formula>
    </cfRule>
    <cfRule type="cellIs" dxfId="1919" priority="1423" operator="between">
      <formula>0.001</formula>
      <formula>0.01</formula>
    </cfRule>
    <cfRule type="cellIs" dxfId="1918" priority="1424" operator="between">
      <formula>0.0001</formula>
      <formula>0.001</formula>
    </cfRule>
    <cfRule type="cellIs" dxfId="1917" priority="1425" operator="between">
      <formula>0.01</formula>
      <formula>0.1</formula>
    </cfRule>
  </conditionalFormatting>
  <conditionalFormatting sqref="L54:L57">
    <cfRule type="cellIs" dxfId="1916" priority="1412" operator="between">
      <formula>0</formula>
      <formula>0.0001</formula>
    </cfRule>
    <cfRule type="cellIs" dxfId="1915" priority="1413" operator="greaterThanOrEqual">
      <formula>10</formula>
    </cfRule>
    <cfRule type="cellIs" dxfId="1914" priority="1414" operator="between">
      <formula>1</formula>
      <formula>10</formula>
    </cfRule>
    <cfRule type="cellIs" dxfId="1913" priority="1415" operator="between">
      <formula>0.1</formula>
      <formula>1</formula>
    </cfRule>
    <cfRule type="cellIs" dxfId="1912" priority="1416" operator="between">
      <formula>0.001</formula>
      <formula>0.01</formula>
    </cfRule>
    <cfRule type="cellIs" dxfId="1911" priority="1417" operator="between">
      <formula>0.0001</formula>
      <formula>0.001</formula>
    </cfRule>
    <cfRule type="cellIs" dxfId="1910" priority="1418" operator="between">
      <formula>0.01</formula>
      <formula>0.1</formula>
    </cfRule>
  </conditionalFormatting>
  <conditionalFormatting sqref="N55 N57">
    <cfRule type="cellIs" dxfId="1909" priority="1406" operator="greaterThanOrEqual">
      <formula>10</formula>
    </cfRule>
    <cfRule type="cellIs" dxfId="1908" priority="1407" operator="between">
      <formula>1</formula>
      <formula>10</formula>
    </cfRule>
    <cfRule type="cellIs" dxfId="1907" priority="1408" operator="between">
      <formula>0.1</formula>
      <formula>1</formula>
    </cfRule>
    <cfRule type="cellIs" dxfId="1906" priority="1409" operator="between">
      <formula>0.001</formula>
      <formula>0.01</formula>
    </cfRule>
    <cfRule type="cellIs" dxfId="1905" priority="1410" operator="between">
      <formula>0</formula>
      <formula>0.001</formula>
    </cfRule>
    <cfRule type="cellIs" dxfId="1904" priority="1411" operator="between">
      <formula>0.01</formula>
      <formula>0.1</formula>
    </cfRule>
  </conditionalFormatting>
  <conditionalFormatting sqref="N55 N57">
    <cfRule type="cellIs" dxfId="1903" priority="1400" operator="greaterThanOrEqual">
      <formula>10</formula>
    </cfRule>
    <cfRule type="cellIs" dxfId="1902" priority="1401" operator="between">
      <formula>1</formula>
      <formula>10</formula>
    </cfRule>
    <cfRule type="cellIs" dxfId="1901" priority="1402" operator="between">
      <formula>0.1</formula>
      <formula>1</formula>
    </cfRule>
    <cfRule type="cellIs" dxfId="1900" priority="1403" operator="between">
      <formula>0.001</formula>
      <formula>0.01</formula>
    </cfRule>
    <cfRule type="cellIs" dxfId="1899" priority="1404" operator="between">
      <formula>0</formula>
      <formula>0.001</formula>
    </cfRule>
    <cfRule type="cellIs" dxfId="1898" priority="1405" operator="between">
      <formula>0.01</formula>
      <formula>0.1</formula>
    </cfRule>
  </conditionalFormatting>
  <conditionalFormatting sqref="N55 N57">
    <cfRule type="cellIs" dxfId="1897" priority="1394" operator="greaterThanOrEqual">
      <formula>10</formula>
    </cfRule>
    <cfRule type="cellIs" dxfId="1896" priority="1395" operator="between">
      <formula>1</formula>
      <formula>10</formula>
    </cfRule>
    <cfRule type="cellIs" dxfId="1895" priority="1396" operator="between">
      <formula>0.1</formula>
      <formula>1</formula>
    </cfRule>
    <cfRule type="cellIs" dxfId="1894" priority="1397" operator="between">
      <formula>0.001</formula>
      <formula>0.01</formula>
    </cfRule>
    <cfRule type="cellIs" dxfId="1893" priority="1398" operator="between">
      <formula>0</formula>
      <formula>0.001</formula>
    </cfRule>
    <cfRule type="cellIs" dxfId="1892" priority="1399" operator="between">
      <formula>0.01</formula>
      <formula>0.1</formula>
    </cfRule>
  </conditionalFormatting>
  <conditionalFormatting sqref="N55 N57">
    <cfRule type="cellIs" dxfId="1891" priority="1388" operator="greaterThanOrEqual">
      <formula>10</formula>
    </cfRule>
    <cfRule type="cellIs" dxfId="1890" priority="1389" operator="between">
      <formula>1</formula>
      <formula>10</formula>
    </cfRule>
    <cfRule type="cellIs" dxfId="1889" priority="1390" operator="between">
      <formula>0.1</formula>
      <formula>1</formula>
    </cfRule>
    <cfRule type="cellIs" dxfId="1888" priority="1391" operator="between">
      <formula>0.001</formula>
      <formula>0.01</formula>
    </cfRule>
    <cfRule type="cellIs" dxfId="1887" priority="1392" operator="between">
      <formula>0</formula>
      <formula>0.001</formula>
    </cfRule>
    <cfRule type="cellIs" dxfId="1886" priority="1393" operator="between">
      <formula>0.01</formula>
      <formula>0.1</formula>
    </cfRule>
  </conditionalFormatting>
  <conditionalFormatting sqref="N55 N57">
    <cfRule type="cellIs" dxfId="1885" priority="1382" operator="greaterThanOrEqual">
      <formula>10</formula>
    </cfRule>
    <cfRule type="cellIs" dxfId="1884" priority="1383" operator="between">
      <formula>1</formula>
      <formula>10</formula>
    </cfRule>
    <cfRule type="cellIs" dxfId="1883" priority="1384" operator="between">
      <formula>0.1</formula>
      <formula>1</formula>
    </cfRule>
    <cfRule type="cellIs" dxfId="1882" priority="1385" operator="between">
      <formula>0.001</formula>
      <formula>0.01</formula>
    </cfRule>
    <cfRule type="cellIs" dxfId="1881" priority="1386" operator="between">
      <formula>0</formula>
      <formula>0.001</formula>
    </cfRule>
    <cfRule type="cellIs" dxfId="1880" priority="1387" operator="between">
      <formula>0.01</formula>
      <formula>0.1</formula>
    </cfRule>
  </conditionalFormatting>
  <conditionalFormatting sqref="N54 N56">
    <cfRule type="cellIs" dxfId="1879" priority="1376" operator="greaterThanOrEqual">
      <formula>10</formula>
    </cfRule>
    <cfRule type="cellIs" dxfId="1878" priority="1377" operator="between">
      <formula>1</formula>
      <formula>10</formula>
    </cfRule>
    <cfRule type="cellIs" dxfId="1877" priority="1378" operator="between">
      <formula>0.1</formula>
      <formula>1</formula>
    </cfRule>
    <cfRule type="cellIs" dxfId="1876" priority="1379" operator="between">
      <formula>0.001</formula>
      <formula>0.01</formula>
    </cfRule>
    <cfRule type="cellIs" dxfId="1875" priority="1380" operator="between">
      <formula>0</formula>
      <formula>0.001</formula>
    </cfRule>
    <cfRule type="cellIs" dxfId="1874" priority="1381" operator="between">
      <formula>0.01</formula>
      <formula>0.1</formula>
    </cfRule>
  </conditionalFormatting>
  <conditionalFormatting sqref="L54:L57">
    <cfRule type="cellIs" dxfId="1873" priority="1368" operator="between">
      <formula>0.00000000001</formula>
      <formula>0.0001</formula>
    </cfRule>
    <cfRule type="cellIs" dxfId="1872" priority="1369" operator="greaterThanOrEqual">
      <formula>10</formula>
    </cfRule>
    <cfRule type="cellIs" dxfId="1871" priority="1370" operator="between">
      <formula>1</formula>
      <formula>10</formula>
    </cfRule>
    <cfRule type="cellIs" dxfId="1870" priority="1371" operator="between">
      <formula>0.1</formula>
      <formula>1</formula>
    </cfRule>
    <cfRule type="cellIs" dxfId="1869" priority="1372" operator="between">
      <formula>0.001</formula>
      <formula>0.01</formula>
    </cfRule>
    <cfRule type="cellIs" dxfId="1868" priority="1373" operator="between">
      <formula>0.0001</formula>
      <formula>0.001</formula>
    </cfRule>
    <cfRule type="cellIs" dxfId="1867" priority="1374" operator="between">
      <formula>0.01</formula>
      <formula>0.1</formula>
    </cfRule>
  </conditionalFormatting>
  <conditionalFormatting sqref="V33">
    <cfRule type="cellIs" dxfId="1866" priority="1362" operator="greaterThanOrEqual">
      <formula>10</formula>
    </cfRule>
    <cfRule type="cellIs" dxfId="1865" priority="1363" operator="between">
      <formula>1</formula>
      <formula>10</formula>
    </cfRule>
    <cfRule type="cellIs" dxfId="1864" priority="1364" operator="between">
      <formula>0.1</formula>
      <formula>1</formula>
    </cfRule>
    <cfRule type="cellIs" dxfId="1863" priority="1365" operator="between">
      <formula>0.001</formula>
      <formula>0.01</formula>
    </cfRule>
    <cfRule type="cellIs" dxfId="1862" priority="1366" operator="between">
      <formula>0</formula>
      <formula>0.001</formula>
    </cfRule>
    <cfRule type="cellIs" dxfId="1861" priority="1367" operator="between">
      <formula>0.01</formula>
      <formula>0.1</formula>
    </cfRule>
  </conditionalFormatting>
  <conditionalFormatting sqref="B45:U45 Y45:Z45">
    <cfRule type="cellIs" dxfId="1860" priority="1361" operator="equal">
      <formula>0</formula>
    </cfRule>
  </conditionalFormatting>
  <conditionalFormatting sqref="G50">
    <cfRule type="cellIs" dxfId="1859" priority="1354" operator="between">
      <formula>0.00000000001</formula>
      <formula>0.0001</formula>
    </cfRule>
    <cfRule type="cellIs" dxfId="1858" priority="1355" operator="greaterThanOrEqual">
      <formula>10</formula>
    </cfRule>
    <cfRule type="cellIs" dxfId="1857" priority="1356" operator="between">
      <formula>1</formula>
      <formula>10</formula>
    </cfRule>
    <cfRule type="cellIs" dxfId="1856" priority="1357" operator="between">
      <formula>0.1</formula>
      <formula>1</formula>
    </cfRule>
    <cfRule type="cellIs" dxfId="1855" priority="1358" operator="between">
      <formula>0.001</formula>
      <formula>0.01</formula>
    </cfRule>
    <cfRule type="cellIs" dxfId="1854" priority="1359" operator="between">
      <formula>0.0001</formula>
      <formula>0.001</formula>
    </cfRule>
    <cfRule type="cellIs" dxfId="1853" priority="1360" operator="between">
      <formula>0.01</formula>
      <formula>0.1</formula>
    </cfRule>
  </conditionalFormatting>
  <conditionalFormatting sqref="D50">
    <cfRule type="cellIs" dxfId="1852" priority="1347" operator="between">
      <formula>0.00000000001</formula>
      <formula>0.0001</formula>
    </cfRule>
    <cfRule type="cellIs" dxfId="1851" priority="1348" operator="greaterThanOrEqual">
      <formula>10</formula>
    </cfRule>
    <cfRule type="cellIs" dxfId="1850" priority="1349" operator="between">
      <formula>1</formula>
      <formula>10</formula>
    </cfRule>
    <cfRule type="cellIs" dxfId="1849" priority="1350" operator="between">
      <formula>0.1</formula>
      <formula>1</formula>
    </cfRule>
    <cfRule type="cellIs" dxfId="1848" priority="1351" operator="between">
      <formula>0.001</formula>
      <formula>0.01</formula>
    </cfRule>
    <cfRule type="cellIs" dxfId="1847" priority="1352" operator="between">
      <formula>0.0001</formula>
      <formula>0.001</formula>
    </cfRule>
    <cfRule type="cellIs" dxfId="1846" priority="1353" operator="between">
      <formula>0.01</formula>
      <formula>0.1</formula>
    </cfRule>
  </conditionalFormatting>
  <conditionalFormatting sqref="I50">
    <cfRule type="cellIs" dxfId="1845" priority="1341" operator="greaterThanOrEqual">
      <formula>10</formula>
    </cfRule>
    <cfRule type="cellIs" dxfId="1844" priority="1342" operator="between">
      <formula>1</formula>
      <formula>10</formula>
    </cfRule>
    <cfRule type="cellIs" dxfId="1843" priority="1343" operator="between">
      <formula>0.1</formula>
      <formula>1</formula>
    </cfRule>
    <cfRule type="cellIs" dxfId="1842" priority="1344" operator="between">
      <formula>0.001</formula>
      <formula>0.01</formula>
    </cfRule>
    <cfRule type="cellIs" dxfId="1841" priority="1345" operator="between">
      <formula>0</formula>
      <formula>0.001</formula>
    </cfRule>
    <cfRule type="cellIs" dxfId="1840" priority="1346" operator="between">
      <formula>0.01</formula>
      <formula>0.1</formula>
    </cfRule>
  </conditionalFormatting>
  <conditionalFormatting sqref="I50">
    <cfRule type="cellIs" dxfId="1839" priority="1335" operator="greaterThanOrEqual">
      <formula>10</formula>
    </cfRule>
    <cfRule type="cellIs" dxfId="1838" priority="1336" operator="between">
      <formula>1</formula>
      <formula>10</formula>
    </cfRule>
    <cfRule type="cellIs" dxfId="1837" priority="1337" operator="between">
      <formula>0.1</formula>
      <formula>1</formula>
    </cfRule>
    <cfRule type="cellIs" dxfId="1836" priority="1338" operator="between">
      <formula>0.001</formula>
      <formula>0.01</formula>
    </cfRule>
    <cfRule type="cellIs" dxfId="1835" priority="1339" operator="between">
      <formula>0</formula>
      <formula>0.001</formula>
    </cfRule>
    <cfRule type="cellIs" dxfId="1834" priority="1340" operator="between">
      <formula>0.01</formula>
      <formula>0.1</formula>
    </cfRule>
  </conditionalFormatting>
  <conditionalFormatting sqref="I50">
    <cfRule type="cellIs" dxfId="1833" priority="1329" operator="greaterThanOrEqual">
      <formula>10</formula>
    </cfRule>
    <cfRule type="cellIs" dxfId="1832" priority="1330" operator="between">
      <formula>1</formula>
      <formula>10</formula>
    </cfRule>
    <cfRule type="cellIs" dxfId="1831" priority="1331" operator="between">
      <formula>0.1</formula>
      <formula>1</formula>
    </cfRule>
    <cfRule type="cellIs" dxfId="1830" priority="1332" operator="between">
      <formula>0.001</formula>
      <formula>0.01</formula>
    </cfRule>
    <cfRule type="cellIs" dxfId="1829" priority="1333" operator="between">
      <formula>0</formula>
      <formula>0.001</formula>
    </cfRule>
    <cfRule type="cellIs" dxfId="1828" priority="1334" operator="between">
      <formula>0.01</formula>
      <formula>0.1</formula>
    </cfRule>
  </conditionalFormatting>
  <conditionalFormatting sqref="I50">
    <cfRule type="cellIs" dxfId="1827" priority="1323" operator="greaterThanOrEqual">
      <formula>10</formula>
    </cfRule>
    <cfRule type="cellIs" dxfId="1826" priority="1324" operator="between">
      <formula>1</formula>
      <formula>10</formula>
    </cfRule>
    <cfRule type="cellIs" dxfId="1825" priority="1325" operator="between">
      <formula>0.1</formula>
      <formula>1</formula>
    </cfRule>
    <cfRule type="cellIs" dxfId="1824" priority="1326" operator="between">
      <formula>0.001</formula>
      <formula>0.01</formula>
    </cfRule>
    <cfRule type="cellIs" dxfId="1823" priority="1327" operator="between">
      <formula>0</formula>
      <formula>0.001</formula>
    </cfRule>
    <cfRule type="cellIs" dxfId="1822" priority="1328" operator="between">
      <formula>0.01</formula>
      <formula>0.1</formula>
    </cfRule>
  </conditionalFormatting>
  <conditionalFormatting sqref="I50">
    <cfRule type="cellIs" dxfId="1821" priority="1317" operator="greaterThanOrEqual">
      <formula>10</formula>
    </cfRule>
    <cfRule type="cellIs" dxfId="1820" priority="1318" operator="between">
      <formula>1</formula>
      <formula>10</formula>
    </cfRule>
    <cfRule type="cellIs" dxfId="1819" priority="1319" operator="between">
      <formula>0.1</formula>
      <formula>1</formula>
    </cfRule>
    <cfRule type="cellIs" dxfId="1818" priority="1320" operator="between">
      <formula>0.001</formula>
      <formula>0.01</formula>
    </cfRule>
    <cfRule type="cellIs" dxfId="1817" priority="1321" operator="between">
      <formula>0</formula>
      <formula>0.001</formula>
    </cfRule>
    <cfRule type="cellIs" dxfId="1816" priority="1322" operator="between">
      <formula>0.01</formula>
      <formula>0.1</formula>
    </cfRule>
  </conditionalFormatting>
  <conditionalFormatting sqref="I50">
    <cfRule type="cellIs" dxfId="1815" priority="1311" operator="greaterThanOrEqual">
      <formula>10</formula>
    </cfRule>
    <cfRule type="cellIs" dxfId="1814" priority="1312" operator="between">
      <formula>1</formula>
      <formula>10</formula>
    </cfRule>
    <cfRule type="cellIs" dxfId="1813" priority="1313" operator="between">
      <formula>0.1</formula>
      <formula>1</formula>
    </cfRule>
    <cfRule type="cellIs" dxfId="1812" priority="1314" operator="between">
      <formula>0.001</formula>
      <formula>0.01</formula>
    </cfRule>
    <cfRule type="cellIs" dxfId="1811" priority="1315" operator="between">
      <formula>0</formula>
      <formula>0.001</formula>
    </cfRule>
    <cfRule type="cellIs" dxfId="1810" priority="1316" operator="between">
      <formula>0.01</formula>
      <formula>0.1</formula>
    </cfRule>
  </conditionalFormatting>
  <conditionalFormatting sqref="I50">
    <cfRule type="cellIs" dxfId="1809" priority="1304" operator="between">
      <formula>0.00000000001</formula>
      <formula>0.0001</formula>
    </cfRule>
    <cfRule type="cellIs" dxfId="1808" priority="1305" operator="greaterThanOrEqual">
      <formula>10</formula>
    </cfRule>
    <cfRule type="cellIs" dxfId="1807" priority="1306" operator="between">
      <formula>1</formula>
      <formula>10</formula>
    </cfRule>
    <cfRule type="cellIs" dxfId="1806" priority="1307" operator="between">
      <formula>0.1</formula>
      <formula>1</formula>
    </cfRule>
    <cfRule type="cellIs" dxfId="1805" priority="1308" operator="between">
      <formula>0.001</formula>
      <formula>0.01</formula>
    </cfRule>
    <cfRule type="cellIs" dxfId="1804" priority="1309" operator="between">
      <formula>0.0001</formula>
      <formula>0.001</formula>
    </cfRule>
    <cfRule type="cellIs" dxfId="1803" priority="1310" operator="between">
      <formula>0.01</formula>
      <formula>0.1</formula>
    </cfRule>
  </conditionalFormatting>
  <conditionalFormatting sqref="L50">
    <cfRule type="cellIs" dxfId="1802" priority="1298" operator="greaterThanOrEqual">
      <formula>10</formula>
    </cfRule>
    <cfRule type="cellIs" dxfId="1801" priority="1299" operator="between">
      <formula>1</formula>
      <formula>10</formula>
    </cfRule>
    <cfRule type="cellIs" dxfId="1800" priority="1300" operator="between">
      <formula>0.1</formula>
      <formula>1</formula>
    </cfRule>
    <cfRule type="cellIs" dxfId="1799" priority="1301" operator="between">
      <formula>0.001</formula>
      <formula>0.01</formula>
    </cfRule>
    <cfRule type="cellIs" dxfId="1798" priority="1302" operator="between">
      <formula>0</formula>
      <formula>0.001</formula>
    </cfRule>
    <cfRule type="cellIs" dxfId="1797" priority="1303" operator="between">
      <formula>0.01</formula>
      <formula>0.1</formula>
    </cfRule>
  </conditionalFormatting>
  <conditionalFormatting sqref="N50">
    <cfRule type="cellIs" dxfId="1796" priority="1292" operator="greaterThanOrEqual">
      <formula>10</formula>
    </cfRule>
    <cfRule type="cellIs" dxfId="1795" priority="1293" operator="between">
      <formula>1</formula>
      <formula>10</formula>
    </cfRule>
    <cfRule type="cellIs" dxfId="1794" priority="1294" operator="between">
      <formula>0.1</formula>
      <formula>1</formula>
    </cfRule>
    <cfRule type="cellIs" dxfId="1793" priority="1295" operator="between">
      <formula>0.001</formula>
      <formula>0.01</formula>
    </cfRule>
    <cfRule type="cellIs" dxfId="1792" priority="1296" operator="between">
      <formula>0</formula>
      <formula>0.001</formula>
    </cfRule>
    <cfRule type="cellIs" dxfId="1791" priority="1297" operator="between">
      <formula>0.01</formula>
      <formula>0.1</formula>
    </cfRule>
  </conditionalFormatting>
  <conditionalFormatting sqref="N50">
    <cfRule type="cellIs" dxfId="1790" priority="1291" operator="equal">
      <formula>0</formula>
    </cfRule>
  </conditionalFormatting>
  <conditionalFormatting sqref="L50:M50">
    <cfRule type="cellIs" dxfId="1789" priority="1290" operator="equal">
      <formula>0</formula>
    </cfRule>
  </conditionalFormatting>
  <conditionalFormatting sqref="L50">
    <cfRule type="cellIs" dxfId="1788" priority="1283" operator="between">
      <formula>0.00000000001</formula>
      <formula>0.0001</formula>
    </cfRule>
    <cfRule type="cellIs" dxfId="1787" priority="1284" operator="greaterThanOrEqual">
      <formula>10</formula>
    </cfRule>
    <cfRule type="cellIs" dxfId="1786" priority="1285" operator="between">
      <formula>1</formula>
      <formula>10</formula>
    </cfRule>
    <cfRule type="cellIs" dxfId="1785" priority="1286" operator="between">
      <formula>0.1</formula>
      <formula>1</formula>
    </cfRule>
    <cfRule type="cellIs" dxfId="1784" priority="1287" operator="between">
      <formula>0.001</formula>
      <formula>0.01</formula>
    </cfRule>
    <cfRule type="cellIs" dxfId="1783" priority="1288" operator="between">
      <formula>0.0001</formula>
      <formula>0.001</formula>
    </cfRule>
    <cfRule type="cellIs" dxfId="1782" priority="1289" operator="between">
      <formula>0.01</formula>
      <formula>0.1</formula>
    </cfRule>
  </conditionalFormatting>
  <conditionalFormatting sqref="N50">
    <cfRule type="cellIs" dxfId="1781" priority="1277" operator="greaterThanOrEqual">
      <formula>10</formula>
    </cfRule>
    <cfRule type="cellIs" dxfId="1780" priority="1278" operator="between">
      <formula>1</formula>
      <formula>10</formula>
    </cfRule>
    <cfRule type="cellIs" dxfId="1779" priority="1279" operator="between">
      <formula>0.1</formula>
      <formula>1</formula>
    </cfRule>
    <cfRule type="cellIs" dxfId="1778" priority="1280" operator="between">
      <formula>0.001</formula>
      <formula>0.01</formula>
    </cfRule>
    <cfRule type="cellIs" dxfId="1777" priority="1281" operator="between">
      <formula>0</formula>
      <formula>0.001</formula>
    </cfRule>
    <cfRule type="cellIs" dxfId="1776" priority="1282" operator="between">
      <formula>0.01</formula>
      <formula>0.1</formula>
    </cfRule>
  </conditionalFormatting>
  <conditionalFormatting sqref="N50">
    <cfRule type="cellIs" dxfId="1775" priority="1271" operator="greaterThanOrEqual">
      <formula>10</formula>
    </cfRule>
    <cfRule type="cellIs" dxfId="1774" priority="1272" operator="between">
      <formula>1</formula>
      <formula>10</formula>
    </cfRule>
    <cfRule type="cellIs" dxfId="1773" priority="1273" operator="between">
      <formula>0.1</formula>
      <formula>1</formula>
    </cfRule>
    <cfRule type="cellIs" dxfId="1772" priority="1274" operator="between">
      <formula>0.001</formula>
      <formula>0.01</formula>
    </cfRule>
    <cfRule type="cellIs" dxfId="1771" priority="1275" operator="between">
      <formula>0</formula>
      <formula>0.001</formula>
    </cfRule>
    <cfRule type="cellIs" dxfId="1770" priority="1276" operator="between">
      <formula>0.01</formula>
      <formula>0.1</formula>
    </cfRule>
  </conditionalFormatting>
  <conditionalFormatting sqref="N50">
    <cfRule type="cellIs" dxfId="1769" priority="1265" operator="greaterThanOrEqual">
      <formula>10</formula>
    </cfRule>
    <cfRule type="cellIs" dxfId="1768" priority="1266" operator="between">
      <formula>1</formula>
      <formula>10</formula>
    </cfRule>
    <cfRule type="cellIs" dxfId="1767" priority="1267" operator="between">
      <formula>0.1</formula>
      <formula>1</formula>
    </cfRule>
    <cfRule type="cellIs" dxfId="1766" priority="1268" operator="between">
      <formula>0.001</formula>
      <formula>0.01</formula>
    </cfRule>
    <cfRule type="cellIs" dxfId="1765" priority="1269" operator="between">
      <formula>0</formula>
      <formula>0.001</formula>
    </cfRule>
    <cfRule type="cellIs" dxfId="1764" priority="1270" operator="between">
      <formula>0.01</formula>
      <formula>0.1</formula>
    </cfRule>
  </conditionalFormatting>
  <conditionalFormatting sqref="N50">
    <cfRule type="cellIs" dxfId="1763" priority="1259" operator="greaterThanOrEqual">
      <formula>10</formula>
    </cfRule>
    <cfRule type="cellIs" dxfId="1762" priority="1260" operator="between">
      <formula>1</formula>
      <formula>10</formula>
    </cfRule>
    <cfRule type="cellIs" dxfId="1761" priority="1261" operator="between">
      <formula>0.1</formula>
      <formula>1</formula>
    </cfRule>
    <cfRule type="cellIs" dxfId="1760" priority="1262" operator="between">
      <formula>0.001</formula>
      <formula>0.01</formula>
    </cfRule>
    <cfRule type="cellIs" dxfId="1759" priority="1263" operator="between">
      <formula>0</formula>
      <formula>0.001</formula>
    </cfRule>
    <cfRule type="cellIs" dxfId="1758" priority="1264" operator="between">
      <formula>0.01</formula>
      <formula>0.1</formula>
    </cfRule>
  </conditionalFormatting>
  <conditionalFormatting sqref="N50">
    <cfRule type="cellIs" dxfId="1757" priority="1253" operator="greaterThanOrEqual">
      <formula>10</formula>
    </cfRule>
    <cfRule type="cellIs" dxfId="1756" priority="1254" operator="between">
      <formula>1</formula>
      <formula>10</formula>
    </cfRule>
    <cfRule type="cellIs" dxfId="1755" priority="1255" operator="between">
      <formula>0.1</formula>
      <formula>1</formula>
    </cfRule>
    <cfRule type="cellIs" dxfId="1754" priority="1256" operator="between">
      <formula>0.001</formula>
      <formula>0.01</formula>
    </cfRule>
    <cfRule type="cellIs" dxfId="1753" priority="1257" operator="between">
      <formula>0</formula>
      <formula>0.001</formula>
    </cfRule>
    <cfRule type="cellIs" dxfId="1752" priority="1258" operator="between">
      <formula>0.01</formula>
      <formula>0.1</formula>
    </cfRule>
  </conditionalFormatting>
  <conditionalFormatting sqref="N50">
    <cfRule type="cellIs" dxfId="1751" priority="1247" operator="greaterThanOrEqual">
      <formula>10</formula>
    </cfRule>
    <cfRule type="cellIs" dxfId="1750" priority="1248" operator="between">
      <formula>1</formula>
      <formula>10</formula>
    </cfRule>
    <cfRule type="cellIs" dxfId="1749" priority="1249" operator="between">
      <formula>0.1</formula>
      <formula>1</formula>
    </cfRule>
    <cfRule type="cellIs" dxfId="1748" priority="1250" operator="between">
      <formula>0.001</formula>
      <formula>0.01</formula>
    </cfRule>
    <cfRule type="cellIs" dxfId="1747" priority="1251" operator="between">
      <formula>0</formula>
      <formula>0.001</formula>
    </cfRule>
    <cfRule type="cellIs" dxfId="1746" priority="1252" operator="between">
      <formula>0.01</formula>
      <formula>0.1</formula>
    </cfRule>
  </conditionalFormatting>
  <conditionalFormatting sqref="N50">
    <cfRule type="cellIs" dxfId="1745" priority="1240" operator="between">
      <formula>0.00000000001</formula>
      <formula>0.0001</formula>
    </cfRule>
    <cfRule type="cellIs" dxfId="1744" priority="1241" operator="greaterThanOrEqual">
      <formula>10</formula>
    </cfRule>
    <cfRule type="cellIs" dxfId="1743" priority="1242" operator="between">
      <formula>1</formula>
      <formula>10</formula>
    </cfRule>
    <cfRule type="cellIs" dxfId="1742" priority="1243" operator="between">
      <formula>0.1</formula>
      <formula>1</formula>
    </cfRule>
    <cfRule type="cellIs" dxfId="1741" priority="1244" operator="between">
      <formula>0.001</formula>
      <formula>0.01</formula>
    </cfRule>
    <cfRule type="cellIs" dxfId="1740" priority="1245" operator="between">
      <formula>0.0001</formula>
      <formula>0.001</formula>
    </cfRule>
    <cfRule type="cellIs" dxfId="1739" priority="1246" operator="between">
      <formula>0.01</formula>
      <formula>0.1</formula>
    </cfRule>
  </conditionalFormatting>
  <conditionalFormatting sqref="D57">
    <cfRule type="cellIs" dxfId="1738" priority="1234" operator="greaterThanOrEqual">
      <formula>10</formula>
    </cfRule>
    <cfRule type="cellIs" dxfId="1737" priority="1235" operator="between">
      <formula>1</formula>
      <formula>10</formula>
    </cfRule>
    <cfRule type="cellIs" dxfId="1736" priority="1236" operator="between">
      <formula>0.1</formula>
      <formula>1</formula>
    </cfRule>
    <cfRule type="cellIs" dxfId="1735" priority="1237" operator="between">
      <formula>0.001</formula>
      <formula>0.01</formula>
    </cfRule>
    <cfRule type="cellIs" dxfId="1734" priority="1238" operator="between">
      <formula>0</formula>
      <formula>0.001</formula>
    </cfRule>
    <cfRule type="cellIs" dxfId="1733" priority="1239" operator="between">
      <formula>0.01</formula>
      <formula>0.1</formula>
    </cfRule>
  </conditionalFormatting>
  <conditionalFormatting sqref="D57">
    <cfRule type="cellIs" dxfId="1732" priority="1228" operator="greaterThanOrEqual">
      <formula>10</formula>
    </cfRule>
    <cfRule type="cellIs" dxfId="1731" priority="1229" operator="between">
      <formula>1</formula>
      <formula>10</formula>
    </cfRule>
    <cfRule type="cellIs" dxfId="1730" priority="1230" operator="between">
      <formula>0.1</formula>
      <formula>1</formula>
    </cfRule>
    <cfRule type="cellIs" dxfId="1729" priority="1231" operator="between">
      <formula>0.001</formula>
      <formula>0.01</formula>
    </cfRule>
    <cfRule type="cellIs" dxfId="1728" priority="1232" operator="between">
      <formula>0</formula>
      <formula>0.001</formula>
    </cfRule>
    <cfRule type="cellIs" dxfId="1727" priority="1233" operator="between">
      <formula>0.01</formula>
      <formula>0.1</formula>
    </cfRule>
  </conditionalFormatting>
  <conditionalFormatting sqref="D57">
    <cfRule type="cellIs" dxfId="1726" priority="1222" operator="greaterThanOrEqual">
      <formula>10</formula>
    </cfRule>
    <cfRule type="cellIs" dxfId="1725" priority="1223" operator="between">
      <formula>1</formula>
      <formula>10</formula>
    </cfRule>
    <cfRule type="cellIs" dxfId="1724" priority="1224" operator="between">
      <formula>0.1</formula>
      <formula>1</formula>
    </cfRule>
    <cfRule type="cellIs" dxfId="1723" priority="1225" operator="between">
      <formula>0.001</formula>
      <formula>0.01</formula>
    </cfRule>
    <cfRule type="cellIs" dxfId="1722" priority="1226" operator="between">
      <formula>0</formula>
      <formula>0.001</formula>
    </cfRule>
    <cfRule type="cellIs" dxfId="1721" priority="1227" operator="between">
      <formula>0.01</formula>
      <formula>0.1</formula>
    </cfRule>
  </conditionalFormatting>
  <conditionalFormatting sqref="D57">
    <cfRule type="cellIs" dxfId="1720" priority="1216" operator="greaterThanOrEqual">
      <formula>10</formula>
    </cfRule>
    <cfRule type="cellIs" dxfId="1719" priority="1217" operator="between">
      <formula>1</formula>
      <formula>10</formula>
    </cfRule>
    <cfRule type="cellIs" dxfId="1718" priority="1218" operator="between">
      <formula>0.1</formula>
      <formula>1</formula>
    </cfRule>
    <cfRule type="cellIs" dxfId="1717" priority="1219" operator="between">
      <formula>0.001</formula>
      <formula>0.01</formula>
    </cfRule>
    <cfRule type="cellIs" dxfId="1716" priority="1220" operator="between">
      <formula>0</formula>
      <formula>0.001</formula>
    </cfRule>
    <cfRule type="cellIs" dxfId="1715" priority="1221" operator="between">
      <formula>0.01</formula>
      <formula>0.1</formula>
    </cfRule>
  </conditionalFormatting>
  <conditionalFormatting sqref="D57">
    <cfRule type="cellIs" dxfId="1714" priority="1210" operator="greaterThanOrEqual">
      <formula>10</formula>
    </cfRule>
    <cfRule type="cellIs" dxfId="1713" priority="1211" operator="between">
      <formula>1</formula>
      <formula>10</formula>
    </cfRule>
    <cfRule type="cellIs" dxfId="1712" priority="1212" operator="between">
      <formula>0.1</formula>
      <formula>1</formula>
    </cfRule>
    <cfRule type="cellIs" dxfId="1711" priority="1213" operator="between">
      <formula>0.001</formula>
      <formula>0.01</formula>
    </cfRule>
    <cfRule type="cellIs" dxfId="1710" priority="1214" operator="between">
      <formula>0</formula>
      <formula>0.001</formula>
    </cfRule>
    <cfRule type="cellIs" dxfId="1709" priority="1215" operator="between">
      <formula>0.01</formula>
      <formula>0.1</formula>
    </cfRule>
  </conditionalFormatting>
  <conditionalFormatting sqref="D57">
    <cfRule type="cellIs" dxfId="1708" priority="1204" operator="greaterThanOrEqual">
      <formula>10</formula>
    </cfRule>
    <cfRule type="cellIs" dxfId="1707" priority="1205" operator="between">
      <formula>1</formula>
      <formula>10</formula>
    </cfRule>
    <cfRule type="cellIs" dxfId="1706" priority="1206" operator="between">
      <formula>0.1</formula>
      <formula>1</formula>
    </cfRule>
    <cfRule type="cellIs" dxfId="1705" priority="1207" operator="between">
      <formula>0.001</formula>
      <formula>0.01</formula>
    </cfRule>
    <cfRule type="cellIs" dxfId="1704" priority="1208" operator="between">
      <formula>0</formula>
      <formula>0.001</formula>
    </cfRule>
    <cfRule type="cellIs" dxfId="1703" priority="1209" operator="between">
      <formula>0.01</formula>
      <formula>0.1</formula>
    </cfRule>
  </conditionalFormatting>
  <conditionalFormatting sqref="D57:E57">
    <cfRule type="cellIs" dxfId="1702" priority="1203" operator="equal">
      <formula>0</formula>
    </cfRule>
  </conditionalFormatting>
  <conditionalFormatting sqref="D57">
    <cfRule type="cellIs" dxfId="1701" priority="1196" operator="between">
      <formula>0.00000000001</formula>
      <formula>0.0001</formula>
    </cfRule>
    <cfRule type="cellIs" dxfId="1700" priority="1197" operator="greaterThanOrEqual">
      <formula>10</formula>
    </cfRule>
    <cfRule type="cellIs" dxfId="1699" priority="1198" operator="between">
      <formula>1</formula>
      <formula>10</formula>
    </cfRule>
    <cfRule type="cellIs" dxfId="1698" priority="1199" operator="between">
      <formula>0.1</formula>
      <formula>1</formula>
    </cfRule>
    <cfRule type="cellIs" dxfId="1697" priority="1200" operator="between">
      <formula>0.001</formula>
      <formula>0.01</formula>
    </cfRule>
    <cfRule type="cellIs" dxfId="1696" priority="1201" operator="between">
      <formula>0.0001</formula>
      <formula>0.001</formula>
    </cfRule>
    <cfRule type="cellIs" dxfId="1695" priority="1202" operator="between">
      <formula>0.01</formula>
      <formula>0.1</formula>
    </cfRule>
  </conditionalFormatting>
  <conditionalFormatting sqref="I57">
    <cfRule type="cellIs" dxfId="1694" priority="1190" operator="greaterThanOrEqual">
      <formula>10</formula>
    </cfRule>
    <cfRule type="cellIs" dxfId="1693" priority="1191" operator="between">
      <formula>1</formula>
      <formula>10</formula>
    </cfRule>
    <cfRule type="cellIs" dxfId="1692" priority="1192" operator="between">
      <formula>0.1</formula>
      <formula>1</formula>
    </cfRule>
    <cfRule type="cellIs" dxfId="1691" priority="1193" operator="between">
      <formula>0.001</formula>
      <formula>0.01</formula>
    </cfRule>
    <cfRule type="cellIs" dxfId="1690" priority="1194" operator="between">
      <formula>0</formula>
      <formula>0.001</formula>
    </cfRule>
    <cfRule type="cellIs" dxfId="1689" priority="1195" operator="between">
      <formula>0.01</formula>
      <formula>0.1</formula>
    </cfRule>
  </conditionalFormatting>
  <conditionalFormatting sqref="I57">
    <cfRule type="cellIs" dxfId="1688" priority="1184" operator="greaterThanOrEqual">
      <formula>10</formula>
    </cfRule>
    <cfRule type="cellIs" dxfId="1687" priority="1185" operator="between">
      <formula>1</formula>
      <formula>10</formula>
    </cfRule>
    <cfRule type="cellIs" dxfId="1686" priority="1186" operator="between">
      <formula>0.1</formula>
      <formula>1</formula>
    </cfRule>
    <cfRule type="cellIs" dxfId="1685" priority="1187" operator="between">
      <formula>0.001</formula>
      <formula>0.01</formula>
    </cfRule>
    <cfRule type="cellIs" dxfId="1684" priority="1188" operator="between">
      <formula>0</formula>
      <formula>0.001</formula>
    </cfRule>
    <cfRule type="cellIs" dxfId="1683" priority="1189" operator="between">
      <formula>0.01</formula>
      <formula>0.1</formula>
    </cfRule>
  </conditionalFormatting>
  <conditionalFormatting sqref="I57">
    <cfRule type="cellIs" dxfId="1682" priority="1178" operator="greaterThanOrEqual">
      <formula>10</formula>
    </cfRule>
    <cfRule type="cellIs" dxfId="1681" priority="1179" operator="between">
      <formula>1</formula>
      <formula>10</formula>
    </cfRule>
    <cfRule type="cellIs" dxfId="1680" priority="1180" operator="between">
      <formula>0.1</formula>
      <formula>1</formula>
    </cfRule>
    <cfRule type="cellIs" dxfId="1679" priority="1181" operator="between">
      <formula>0.001</formula>
      <formula>0.01</formula>
    </cfRule>
    <cfRule type="cellIs" dxfId="1678" priority="1182" operator="between">
      <formula>0</formula>
      <formula>0.001</formula>
    </cfRule>
    <cfRule type="cellIs" dxfId="1677" priority="1183" operator="between">
      <formula>0.01</formula>
      <formula>0.1</formula>
    </cfRule>
  </conditionalFormatting>
  <conditionalFormatting sqref="I57">
    <cfRule type="cellIs" dxfId="1676" priority="1172" operator="greaterThanOrEqual">
      <formula>10</formula>
    </cfRule>
    <cfRule type="cellIs" dxfId="1675" priority="1173" operator="between">
      <formula>1</formula>
      <formula>10</formula>
    </cfRule>
    <cfRule type="cellIs" dxfId="1674" priority="1174" operator="between">
      <formula>0.1</formula>
      <formula>1</formula>
    </cfRule>
    <cfRule type="cellIs" dxfId="1673" priority="1175" operator="between">
      <formula>0.001</formula>
      <formula>0.01</formula>
    </cfRule>
    <cfRule type="cellIs" dxfId="1672" priority="1176" operator="between">
      <formula>0</formula>
      <formula>0.001</formula>
    </cfRule>
    <cfRule type="cellIs" dxfId="1671" priority="1177" operator="between">
      <formula>0.01</formula>
      <formula>0.1</formula>
    </cfRule>
  </conditionalFormatting>
  <conditionalFormatting sqref="I57">
    <cfRule type="cellIs" dxfId="1670" priority="1166" operator="greaterThanOrEqual">
      <formula>10</formula>
    </cfRule>
    <cfRule type="cellIs" dxfId="1669" priority="1167" operator="between">
      <formula>1</formula>
      <formula>10</formula>
    </cfRule>
    <cfRule type="cellIs" dxfId="1668" priority="1168" operator="between">
      <formula>0.1</formula>
      <formula>1</formula>
    </cfRule>
    <cfRule type="cellIs" dxfId="1667" priority="1169" operator="between">
      <formula>0.001</formula>
      <formula>0.01</formula>
    </cfRule>
    <cfRule type="cellIs" dxfId="1666" priority="1170" operator="between">
      <formula>0</formula>
      <formula>0.001</formula>
    </cfRule>
    <cfRule type="cellIs" dxfId="1665" priority="1171" operator="between">
      <formula>0.01</formula>
      <formula>0.1</formula>
    </cfRule>
  </conditionalFormatting>
  <conditionalFormatting sqref="I57">
    <cfRule type="cellIs" dxfId="1664" priority="1160" operator="greaterThanOrEqual">
      <formula>10</formula>
    </cfRule>
    <cfRule type="cellIs" dxfId="1663" priority="1161" operator="between">
      <formula>1</formula>
      <formula>10</formula>
    </cfRule>
    <cfRule type="cellIs" dxfId="1662" priority="1162" operator="between">
      <formula>0.1</formula>
      <formula>1</formula>
    </cfRule>
    <cfRule type="cellIs" dxfId="1661" priority="1163" operator="between">
      <formula>0.001</formula>
      <formula>0.01</formula>
    </cfRule>
    <cfRule type="cellIs" dxfId="1660" priority="1164" operator="between">
      <formula>0</formula>
      <formula>0.001</formula>
    </cfRule>
    <cfRule type="cellIs" dxfId="1659" priority="1165" operator="between">
      <formula>0.01</formula>
      <formula>0.1</formula>
    </cfRule>
  </conditionalFormatting>
  <conditionalFormatting sqref="I57">
    <cfRule type="cellIs" dxfId="1658" priority="1154" operator="greaterThanOrEqual">
      <formula>10</formula>
    </cfRule>
    <cfRule type="cellIs" dxfId="1657" priority="1155" operator="between">
      <formula>1</formula>
      <formula>10</formula>
    </cfRule>
    <cfRule type="cellIs" dxfId="1656" priority="1156" operator="between">
      <formula>0.1</formula>
      <formula>1</formula>
    </cfRule>
    <cfRule type="cellIs" dxfId="1655" priority="1157" operator="between">
      <formula>0.001</formula>
      <formula>0.01</formula>
    </cfRule>
    <cfRule type="cellIs" dxfId="1654" priority="1158" operator="between">
      <formula>0</formula>
      <formula>0.001</formula>
    </cfRule>
    <cfRule type="cellIs" dxfId="1653" priority="1159" operator="between">
      <formula>0.01</formula>
      <formula>0.1</formula>
    </cfRule>
  </conditionalFormatting>
  <conditionalFormatting sqref="I57">
    <cfRule type="cellIs" dxfId="1652" priority="1148" operator="greaterThanOrEqual">
      <formula>10</formula>
    </cfRule>
    <cfRule type="cellIs" dxfId="1651" priority="1149" operator="between">
      <formula>1</formula>
      <formula>10</formula>
    </cfRule>
    <cfRule type="cellIs" dxfId="1650" priority="1150" operator="between">
      <formula>0.1</formula>
      <formula>1</formula>
    </cfRule>
    <cfRule type="cellIs" dxfId="1649" priority="1151" operator="between">
      <formula>0.001</formula>
      <formula>0.01</formula>
    </cfRule>
    <cfRule type="cellIs" dxfId="1648" priority="1152" operator="between">
      <formula>0</formula>
      <formula>0.001</formula>
    </cfRule>
    <cfRule type="cellIs" dxfId="1647" priority="1153" operator="between">
      <formula>0.01</formula>
      <formula>0.1</formula>
    </cfRule>
  </conditionalFormatting>
  <conditionalFormatting sqref="I57">
    <cfRule type="cellIs" dxfId="1646" priority="1142" operator="greaterThanOrEqual">
      <formula>10</formula>
    </cfRule>
    <cfRule type="cellIs" dxfId="1645" priority="1143" operator="between">
      <formula>1</formula>
      <formula>10</formula>
    </cfRule>
    <cfRule type="cellIs" dxfId="1644" priority="1144" operator="between">
      <formula>0.1</formula>
      <formula>1</formula>
    </cfRule>
    <cfRule type="cellIs" dxfId="1643" priority="1145" operator="between">
      <formula>0.001</formula>
      <formula>0.01</formula>
    </cfRule>
    <cfRule type="cellIs" dxfId="1642" priority="1146" operator="between">
      <formula>0</formula>
      <formula>0.001</formula>
    </cfRule>
    <cfRule type="cellIs" dxfId="1641" priority="1147" operator="between">
      <formula>0.01</formula>
      <formula>0.1</formula>
    </cfRule>
  </conditionalFormatting>
  <conditionalFormatting sqref="I57">
    <cfRule type="cellIs" dxfId="1640" priority="1136" operator="greaterThanOrEqual">
      <formula>10</formula>
    </cfRule>
    <cfRule type="cellIs" dxfId="1639" priority="1137" operator="between">
      <formula>1</formula>
      <formula>10</formula>
    </cfRule>
    <cfRule type="cellIs" dxfId="1638" priority="1138" operator="between">
      <formula>0.1</formula>
      <formula>1</formula>
    </cfRule>
    <cfRule type="cellIs" dxfId="1637" priority="1139" operator="between">
      <formula>0.001</formula>
      <formula>0.01</formula>
    </cfRule>
    <cfRule type="cellIs" dxfId="1636" priority="1140" operator="between">
      <formula>0</formula>
      <formula>0.001</formula>
    </cfRule>
    <cfRule type="cellIs" dxfId="1635" priority="1141" operator="between">
      <formula>0.01</formula>
      <formula>0.1</formula>
    </cfRule>
  </conditionalFormatting>
  <conditionalFormatting sqref="I57">
    <cfRule type="cellIs" dxfId="1634" priority="1130" operator="greaterThanOrEqual">
      <formula>10</formula>
    </cfRule>
    <cfRule type="cellIs" dxfId="1633" priority="1131" operator="between">
      <formula>1</formula>
      <formula>10</formula>
    </cfRule>
    <cfRule type="cellIs" dxfId="1632" priority="1132" operator="between">
      <formula>0.1</formula>
      <formula>1</formula>
    </cfRule>
    <cfRule type="cellIs" dxfId="1631" priority="1133" operator="between">
      <formula>0.001</formula>
      <formula>0.01</formula>
    </cfRule>
    <cfRule type="cellIs" dxfId="1630" priority="1134" operator="between">
      <formula>0</formula>
      <formula>0.001</formula>
    </cfRule>
    <cfRule type="cellIs" dxfId="1629" priority="1135" operator="between">
      <formula>0.01</formula>
      <formula>0.1</formula>
    </cfRule>
  </conditionalFormatting>
  <conditionalFormatting sqref="I57:J57">
    <cfRule type="cellIs" dxfId="1628" priority="1129" operator="equal">
      <formula>0</formula>
    </cfRule>
  </conditionalFormatting>
  <conditionalFormatting sqref="I57">
    <cfRule type="cellIs" dxfId="1627" priority="1122" operator="between">
      <formula>0.00000000001</formula>
      <formula>0.0001</formula>
    </cfRule>
    <cfRule type="cellIs" dxfId="1626" priority="1123" operator="greaterThanOrEqual">
      <formula>10</formula>
    </cfRule>
    <cfRule type="cellIs" dxfId="1625" priority="1124" operator="between">
      <formula>1</formula>
      <formula>10</formula>
    </cfRule>
    <cfRule type="cellIs" dxfId="1624" priority="1125" operator="between">
      <formula>0.1</formula>
      <formula>1</formula>
    </cfRule>
    <cfRule type="cellIs" dxfId="1623" priority="1126" operator="between">
      <formula>0.001</formula>
      <formula>0.01</formula>
    </cfRule>
    <cfRule type="cellIs" dxfId="1622" priority="1127" operator="between">
      <formula>0.0001</formula>
      <formula>0.001</formula>
    </cfRule>
    <cfRule type="cellIs" dxfId="1621" priority="1128" operator="between">
      <formula>0.01</formula>
      <formula>0.1</formula>
    </cfRule>
  </conditionalFormatting>
  <conditionalFormatting sqref="L57">
    <cfRule type="cellIs" dxfId="1620" priority="1116" operator="greaterThanOrEqual">
      <formula>10</formula>
    </cfRule>
    <cfRule type="cellIs" dxfId="1619" priority="1117" operator="between">
      <formula>1</formula>
      <formula>10</formula>
    </cfRule>
    <cfRule type="cellIs" dxfId="1618" priority="1118" operator="between">
      <formula>0.1</formula>
      <formula>1</formula>
    </cfRule>
    <cfRule type="cellIs" dxfId="1617" priority="1119" operator="between">
      <formula>0.001</formula>
      <formula>0.01</formula>
    </cfRule>
    <cfRule type="cellIs" dxfId="1616" priority="1120" operator="between">
      <formula>0</formula>
      <formula>0.001</formula>
    </cfRule>
    <cfRule type="cellIs" dxfId="1615" priority="1121" operator="between">
      <formula>0.01</formula>
      <formula>0.1</formula>
    </cfRule>
  </conditionalFormatting>
  <conditionalFormatting sqref="L57">
    <cfRule type="cellIs" dxfId="1614" priority="1115" operator="equal">
      <formula>0</formula>
    </cfRule>
  </conditionalFormatting>
  <conditionalFormatting sqref="N57">
    <cfRule type="cellIs" dxfId="1613" priority="1109" operator="greaterThanOrEqual">
      <formula>10</formula>
    </cfRule>
    <cfRule type="cellIs" dxfId="1612" priority="1110" operator="between">
      <formula>1</formula>
      <formula>10</formula>
    </cfRule>
    <cfRule type="cellIs" dxfId="1611" priority="1111" operator="between">
      <formula>0.1</formula>
      <formula>1</formula>
    </cfRule>
    <cfRule type="cellIs" dxfId="1610" priority="1112" operator="between">
      <formula>0.001</formula>
      <formula>0.01</formula>
    </cfRule>
    <cfRule type="cellIs" dxfId="1609" priority="1113" operator="between">
      <formula>0</formula>
      <formula>0.001</formula>
    </cfRule>
    <cfRule type="cellIs" dxfId="1608" priority="1114" operator="between">
      <formula>0.01</formula>
      <formula>0.1</formula>
    </cfRule>
  </conditionalFormatting>
  <conditionalFormatting sqref="N57">
    <cfRule type="cellIs" dxfId="1607" priority="1108" operator="equal">
      <formula>0</formula>
    </cfRule>
  </conditionalFormatting>
  <conditionalFormatting sqref="L57">
    <cfRule type="cellIs" dxfId="1606" priority="1101" operator="between">
      <formula>0</formula>
      <formula>0.0001</formula>
    </cfRule>
    <cfRule type="cellIs" dxfId="1605" priority="1102" operator="greaterThanOrEqual">
      <formula>10</formula>
    </cfRule>
    <cfRule type="cellIs" dxfId="1604" priority="1103" operator="between">
      <formula>1</formula>
      <formula>10</formula>
    </cfRule>
    <cfRule type="cellIs" dxfId="1603" priority="1104" operator="between">
      <formula>0.1</formula>
      <formula>1</formula>
    </cfRule>
    <cfRule type="cellIs" dxfId="1602" priority="1105" operator="between">
      <formula>0.001</formula>
      <formula>0.01</formula>
    </cfRule>
    <cfRule type="cellIs" dxfId="1601" priority="1106" operator="between">
      <formula>0.0001</formula>
      <formula>0.001</formula>
    </cfRule>
    <cfRule type="cellIs" dxfId="1600" priority="1107" operator="between">
      <formula>0.01</formula>
      <formula>0.1</formula>
    </cfRule>
  </conditionalFormatting>
  <conditionalFormatting sqref="L57">
    <cfRule type="cellIs" dxfId="1599" priority="1094" operator="between">
      <formula>0</formula>
      <formula>0.0001</formula>
    </cfRule>
    <cfRule type="cellIs" dxfId="1598" priority="1095" operator="greaterThanOrEqual">
      <formula>10</formula>
    </cfRule>
    <cfRule type="cellIs" dxfId="1597" priority="1096" operator="between">
      <formula>1</formula>
      <formula>10</formula>
    </cfRule>
    <cfRule type="cellIs" dxfId="1596" priority="1097" operator="between">
      <formula>0.1</formula>
      <formula>1</formula>
    </cfRule>
    <cfRule type="cellIs" dxfId="1595" priority="1098" operator="between">
      <formula>0.001</formula>
      <formula>0.01</formula>
    </cfRule>
    <cfRule type="cellIs" dxfId="1594" priority="1099" operator="between">
      <formula>0.0001</formula>
      <formula>0.001</formula>
    </cfRule>
    <cfRule type="cellIs" dxfId="1593" priority="1100" operator="between">
      <formula>0.01</formula>
      <formula>0.1</formula>
    </cfRule>
  </conditionalFormatting>
  <conditionalFormatting sqref="N57">
    <cfRule type="cellIs" dxfId="1592" priority="1088" operator="greaterThanOrEqual">
      <formula>10</formula>
    </cfRule>
    <cfRule type="cellIs" dxfId="1591" priority="1089" operator="between">
      <formula>1</formula>
      <formula>10</formula>
    </cfRule>
    <cfRule type="cellIs" dxfId="1590" priority="1090" operator="between">
      <formula>0.1</formula>
      <formula>1</formula>
    </cfRule>
    <cfRule type="cellIs" dxfId="1589" priority="1091" operator="between">
      <formula>0.001</formula>
      <formula>0.01</formula>
    </cfRule>
    <cfRule type="cellIs" dxfId="1588" priority="1092" operator="between">
      <formula>0</formula>
      <formula>0.001</formula>
    </cfRule>
    <cfRule type="cellIs" dxfId="1587" priority="1093" operator="between">
      <formula>0.01</formula>
      <formula>0.1</formula>
    </cfRule>
  </conditionalFormatting>
  <conditionalFormatting sqref="N57">
    <cfRule type="cellIs" dxfId="1586" priority="1082" operator="greaterThanOrEqual">
      <formula>10</formula>
    </cfRule>
    <cfRule type="cellIs" dxfId="1585" priority="1083" operator="between">
      <formula>1</formula>
      <formula>10</formula>
    </cfRule>
    <cfRule type="cellIs" dxfId="1584" priority="1084" operator="between">
      <formula>0.1</formula>
      <formula>1</formula>
    </cfRule>
    <cfRule type="cellIs" dxfId="1583" priority="1085" operator="between">
      <formula>0.001</formula>
      <formula>0.01</formula>
    </cfRule>
    <cfRule type="cellIs" dxfId="1582" priority="1086" operator="between">
      <formula>0</formula>
      <formula>0.001</formula>
    </cfRule>
    <cfRule type="cellIs" dxfId="1581" priority="1087" operator="between">
      <formula>0.01</formula>
      <formula>0.1</formula>
    </cfRule>
  </conditionalFormatting>
  <conditionalFormatting sqref="N57">
    <cfRule type="cellIs" dxfId="1580" priority="1076" operator="greaterThanOrEqual">
      <formula>10</formula>
    </cfRule>
    <cfRule type="cellIs" dxfId="1579" priority="1077" operator="between">
      <formula>1</formula>
      <formula>10</formula>
    </cfRule>
    <cfRule type="cellIs" dxfId="1578" priority="1078" operator="between">
      <formula>0.1</formula>
      <formula>1</formula>
    </cfRule>
    <cfRule type="cellIs" dxfId="1577" priority="1079" operator="between">
      <formula>0.001</formula>
      <formula>0.01</formula>
    </cfRule>
    <cfRule type="cellIs" dxfId="1576" priority="1080" operator="between">
      <formula>0</formula>
      <formula>0.001</formula>
    </cfRule>
    <cfRule type="cellIs" dxfId="1575" priority="1081" operator="between">
      <formula>0.01</formula>
      <formula>0.1</formula>
    </cfRule>
  </conditionalFormatting>
  <conditionalFormatting sqref="N57">
    <cfRule type="cellIs" dxfId="1574" priority="1070" operator="greaterThanOrEqual">
      <formula>10</formula>
    </cfRule>
    <cfRule type="cellIs" dxfId="1573" priority="1071" operator="between">
      <formula>1</formula>
      <formula>10</formula>
    </cfRule>
    <cfRule type="cellIs" dxfId="1572" priority="1072" operator="between">
      <formula>0.1</formula>
      <formula>1</formula>
    </cfRule>
    <cfRule type="cellIs" dxfId="1571" priority="1073" operator="between">
      <formula>0.001</formula>
      <formula>0.01</formula>
    </cfRule>
    <cfRule type="cellIs" dxfId="1570" priority="1074" operator="between">
      <formula>0</formula>
      <formula>0.001</formula>
    </cfRule>
    <cfRule type="cellIs" dxfId="1569" priority="1075" operator="between">
      <formula>0.01</formula>
      <formula>0.1</formula>
    </cfRule>
  </conditionalFormatting>
  <conditionalFormatting sqref="N57">
    <cfRule type="cellIs" dxfId="1568" priority="1064" operator="greaterThanOrEqual">
      <formula>10</formula>
    </cfRule>
    <cfRule type="cellIs" dxfId="1567" priority="1065" operator="between">
      <formula>1</formula>
      <formula>10</formula>
    </cfRule>
    <cfRule type="cellIs" dxfId="1566" priority="1066" operator="between">
      <formula>0.1</formula>
      <formula>1</formula>
    </cfRule>
    <cfRule type="cellIs" dxfId="1565" priority="1067" operator="between">
      <formula>0.001</formula>
      <formula>0.01</formula>
    </cfRule>
    <cfRule type="cellIs" dxfId="1564" priority="1068" operator="between">
      <formula>0</formula>
      <formula>0.001</formula>
    </cfRule>
    <cfRule type="cellIs" dxfId="1563" priority="1069" operator="between">
      <formula>0.01</formula>
      <formula>0.1</formula>
    </cfRule>
  </conditionalFormatting>
  <conditionalFormatting sqref="L57">
    <cfRule type="cellIs" dxfId="1562" priority="1057" operator="between">
      <formula>0.00000000001</formula>
      <formula>0.0001</formula>
    </cfRule>
    <cfRule type="cellIs" dxfId="1561" priority="1058" operator="greaterThanOrEqual">
      <formula>10</formula>
    </cfRule>
    <cfRule type="cellIs" dxfId="1560" priority="1059" operator="between">
      <formula>1</formula>
      <formula>10</formula>
    </cfRule>
    <cfRule type="cellIs" dxfId="1559" priority="1060" operator="between">
      <formula>0.1</formula>
      <formula>1</formula>
    </cfRule>
    <cfRule type="cellIs" dxfId="1558" priority="1061" operator="between">
      <formula>0.001</formula>
      <formula>0.01</formula>
    </cfRule>
    <cfRule type="cellIs" dxfId="1557" priority="1062" operator="between">
      <formula>0.0001</formula>
      <formula>0.001</formula>
    </cfRule>
    <cfRule type="cellIs" dxfId="1556" priority="1063" operator="between">
      <formula>0.01</formula>
      <formula>0.1</formula>
    </cfRule>
  </conditionalFormatting>
  <conditionalFormatting sqref="N57">
    <cfRule type="cellIs" dxfId="1555" priority="1051" operator="greaterThanOrEqual">
      <formula>10</formula>
    </cfRule>
    <cfRule type="cellIs" dxfId="1554" priority="1052" operator="between">
      <formula>1</formula>
      <formula>10</formula>
    </cfRule>
    <cfRule type="cellIs" dxfId="1553" priority="1053" operator="between">
      <formula>0.1</formula>
      <formula>1</formula>
    </cfRule>
    <cfRule type="cellIs" dxfId="1552" priority="1054" operator="between">
      <formula>0.001</formula>
      <formula>0.01</formula>
    </cfRule>
    <cfRule type="cellIs" dxfId="1551" priority="1055" operator="between">
      <formula>0</formula>
      <formula>0.001</formula>
    </cfRule>
    <cfRule type="cellIs" dxfId="1550" priority="1056" operator="between">
      <formula>0.01</formula>
      <formula>0.1</formula>
    </cfRule>
  </conditionalFormatting>
  <conditionalFormatting sqref="N57">
    <cfRule type="cellIs" dxfId="1549" priority="1045" operator="greaterThanOrEqual">
      <formula>10</formula>
    </cfRule>
    <cfRule type="cellIs" dxfId="1548" priority="1046" operator="between">
      <formula>1</formula>
      <formula>10</formula>
    </cfRule>
    <cfRule type="cellIs" dxfId="1547" priority="1047" operator="between">
      <formula>0.1</formula>
      <formula>1</formula>
    </cfRule>
    <cfRule type="cellIs" dxfId="1546" priority="1048" operator="between">
      <formula>0.001</formula>
      <formula>0.01</formula>
    </cfRule>
    <cfRule type="cellIs" dxfId="1545" priority="1049" operator="between">
      <formula>0</formula>
      <formula>0.001</formula>
    </cfRule>
    <cfRule type="cellIs" dxfId="1544" priority="1050" operator="between">
      <formula>0.01</formula>
      <formula>0.1</formula>
    </cfRule>
  </conditionalFormatting>
  <conditionalFormatting sqref="N57">
    <cfRule type="cellIs" dxfId="1543" priority="1039" operator="greaterThanOrEqual">
      <formula>10</formula>
    </cfRule>
    <cfRule type="cellIs" dxfId="1542" priority="1040" operator="between">
      <formula>1</formula>
      <formula>10</formula>
    </cfRule>
    <cfRule type="cellIs" dxfId="1541" priority="1041" operator="between">
      <formula>0.1</formula>
      <formula>1</formula>
    </cfRule>
    <cfRule type="cellIs" dxfId="1540" priority="1042" operator="between">
      <formula>0.001</formula>
      <formula>0.01</formula>
    </cfRule>
    <cfRule type="cellIs" dxfId="1539" priority="1043" operator="between">
      <formula>0</formula>
      <formula>0.001</formula>
    </cfRule>
    <cfRule type="cellIs" dxfId="1538" priority="1044" operator="between">
      <formula>0.01</formula>
      <formula>0.1</formula>
    </cfRule>
  </conditionalFormatting>
  <conditionalFormatting sqref="N57">
    <cfRule type="cellIs" dxfId="1537" priority="1033" operator="greaterThanOrEqual">
      <formula>10</formula>
    </cfRule>
    <cfRule type="cellIs" dxfId="1536" priority="1034" operator="between">
      <formula>1</formula>
      <formula>10</formula>
    </cfRule>
    <cfRule type="cellIs" dxfId="1535" priority="1035" operator="between">
      <formula>0.1</formula>
      <formula>1</formula>
    </cfRule>
    <cfRule type="cellIs" dxfId="1534" priority="1036" operator="between">
      <formula>0.001</formula>
      <formula>0.01</formula>
    </cfRule>
    <cfRule type="cellIs" dxfId="1533" priority="1037" operator="between">
      <formula>0</formula>
      <formula>0.001</formula>
    </cfRule>
    <cfRule type="cellIs" dxfId="1532" priority="1038" operator="between">
      <formula>0.01</formula>
      <formula>0.1</formula>
    </cfRule>
  </conditionalFormatting>
  <conditionalFormatting sqref="N57">
    <cfRule type="cellIs" dxfId="1531" priority="1027" operator="greaterThanOrEqual">
      <formula>10</formula>
    </cfRule>
    <cfRule type="cellIs" dxfId="1530" priority="1028" operator="between">
      <formula>1</formula>
      <formula>10</formula>
    </cfRule>
    <cfRule type="cellIs" dxfId="1529" priority="1029" operator="between">
      <formula>0.1</formula>
      <formula>1</formula>
    </cfRule>
    <cfRule type="cellIs" dxfId="1528" priority="1030" operator="between">
      <formula>0.001</formula>
      <formula>0.01</formula>
    </cfRule>
    <cfRule type="cellIs" dxfId="1527" priority="1031" operator="between">
      <formula>0</formula>
      <formula>0.001</formula>
    </cfRule>
    <cfRule type="cellIs" dxfId="1526" priority="1032" operator="between">
      <formula>0.01</formula>
      <formula>0.1</formula>
    </cfRule>
  </conditionalFormatting>
  <conditionalFormatting sqref="N57">
    <cfRule type="cellIs" dxfId="1525" priority="1021" operator="greaterThanOrEqual">
      <formula>10</formula>
    </cfRule>
    <cfRule type="cellIs" dxfId="1524" priority="1022" operator="between">
      <formula>1</formula>
      <formula>10</formula>
    </cfRule>
    <cfRule type="cellIs" dxfId="1523" priority="1023" operator="between">
      <formula>0.1</formula>
      <formula>1</formula>
    </cfRule>
    <cfRule type="cellIs" dxfId="1522" priority="1024" operator="between">
      <formula>0.001</formula>
      <formula>0.01</formula>
    </cfRule>
    <cfRule type="cellIs" dxfId="1521" priority="1025" operator="between">
      <formula>0</formula>
      <formula>0.001</formula>
    </cfRule>
    <cfRule type="cellIs" dxfId="1520" priority="1026" operator="between">
      <formula>0.01</formula>
      <formula>0.1</formula>
    </cfRule>
  </conditionalFormatting>
  <conditionalFormatting sqref="N57">
    <cfRule type="cellIs" dxfId="1519" priority="1015" operator="greaterThanOrEqual">
      <formula>10</formula>
    </cfRule>
    <cfRule type="cellIs" dxfId="1518" priority="1016" operator="between">
      <formula>1</formula>
      <formula>10</formula>
    </cfRule>
    <cfRule type="cellIs" dxfId="1517" priority="1017" operator="between">
      <formula>0.1</formula>
      <formula>1</formula>
    </cfRule>
    <cfRule type="cellIs" dxfId="1516" priority="1018" operator="between">
      <formula>0.001</formula>
      <formula>0.01</formula>
    </cfRule>
    <cfRule type="cellIs" dxfId="1515" priority="1019" operator="between">
      <formula>0</formula>
      <formula>0.001</formula>
    </cfRule>
    <cfRule type="cellIs" dxfId="1514" priority="1020" operator="between">
      <formula>0.01</formula>
      <formula>0.1</formula>
    </cfRule>
  </conditionalFormatting>
  <conditionalFormatting sqref="N57">
    <cfRule type="cellIs" dxfId="1513" priority="1009" operator="greaterThanOrEqual">
      <formula>10</formula>
    </cfRule>
    <cfRule type="cellIs" dxfId="1512" priority="1010" operator="between">
      <formula>1</formula>
      <formula>10</formula>
    </cfRule>
    <cfRule type="cellIs" dxfId="1511" priority="1011" operator="between">
      <formula>0.1</formula>
      <formula>1</formula>
    </cfRule>
    <cfRule type="cellIs" dxfId="1510" priority="1012" operator="between">
      <formula>0.001</formula>
      <formula>0.01</formula>
    </cfRule>
    <cfRule type="cellIs" dxfId="1509" priority="1013" operator="between">
      <formula>0</formula>
      <formula>0.001</formula>
    </cfRule>
    <cfRule type="cellIs" dxfId="1508" priority="1014" operator="between">
      <formula>0.01</formula>
      <formula>0.1</formula>
    </cfRule>
  </conditionalFormatting>
  <conditionalFormatting sqref="N57">
    <cfRule type="cellIs" dxfId="1507" priority="1003" operator="greaterThanOrEqual">
      <formula>10</formula>
    </cfRule>
    <cfRule type="cellIs" dxfId="1506" priority="1004" operator="between">
      <formula>1</formula>
      <formula>10</formula>
    </cfRule>
    <cfRule type="cellIs" dxfId="1505" priority="1005" operator="between">
      <formula>0.1</formula>
      <formula>1</formula>
    </cfRule>
    <cfRule type="cellIs" dxfId="1504" priority="1006" operator="between">
      <formula>0.001</formula>
      <formula>0.01</formula>
    </cfRule>
    <cfRule type="cellIs" dxfId="1503" priority="1007" operator="between">
      <formula>0</formula>
      <formula>0.001</formula>
    </cfRule>
    <cfRule type="cellIs" dxfId="1502" priority="1008" operator="between">
      <formula>0.01</formula>
      <formula>0.1</formula>
    </cfRule>
  </conditionalFormatting>
  <conditionalFormatting sqref="N57">
    <cfRule type="cellIs" dxfId="1501" priority="997" operator="greaterThanOrEqual">
      <formula>10</formula>
    </cfRule>
    <cfRule type="cellIs" dxfId="1500" priority="998" operator="between">
      <formula>1</formula>
      <formula>10</formula>
    </cfRule>
    <cfRule type="cellIs" dxfId="1499" priority="999" operator="between">
      <formula>0.1</formula>
      <formula>1</formula>
    </cfRule>
    <cfRule type="cellIs" dxfId="1498" priority="1000" operator="between">
      <formula>0.001</formula>
      <formula>0.01</formula>
    </cfRule>
    <cfRule type="cellIs" dxfId="1497" priority="1001" operator="between">
      <formula>0</formula>
      <formula>0.001</formula>
    </cfRule>
    <cfRule type="cellIs" dxfId="1496" priority="1002" operator="between">
      <formula>0.01</formula>
      <formula>0.1</formula>
    </cfRule>
  </conditionalFormatting>
  <conditionalFormatting sqref="N57">
    <cfRule type="cellIs" dxfId="1495" priority="991" operator="greaterThanOrEqual">
      <formula>10</formula>
    </cfRule>
    <cfRule type="cellIs" dxfId="1494" priority="992" operator="between">
      <formula>1</formula>
      <formula>10</formula>
    </cfRule>
    <cfRule type="cellIs" dxfId="1493" priority="993" operator="between">
      <formula>0.1</formula>
      <formula>1</formula>
    </cfRule>
    <cfRule type="cellIs" dxfId="1492" priority="994" operator="between">
      <formula>0.001</formula>
      <formula>0.01</formula>
    </cfRule>
    <cfRule type="cellIs" dxfId="1491" priority="995" operator="between">
      <formula>0</formula>
      <formula>0.001</formula>
    </cfRule>
    <cfRule type="cellIs" dxfId="1490" priority="996" operator="between">
      <formula>0.01</formula>
      <formula>0.1</formula>
    </cfRule>
  </conditionalFormatting>
  <conditionalFormatting sqref="N57:O57">
    <cfRule type="cellIs" dxfId="1489" priority="990" operator="equal">
      <formula>0</formula>
    </cfRule>
  </conditionalFormatting>
  <conditionalFormatting sqref="N57">
    <cfRule type="cellIs" dxfId="1488" priority="983" operator="between">
      <formula>0.00000000001</formula>
      <formula>0.0001</formula>
    </cfRule>
    <cfRule type="cellIs" dxfId="1487" priority="984" operator="greaterThanOrEqual">
      <formula>10</formula>
    </cfRule>
    <cfRule type="cellIs" dxfId="1486" priority="985" operator="between">
      <formula>1</formula>
      <formula>10</formula>
    </cfRule>
    <cfRule type="cellIs" dxfId="1485" priority="986" operator="between">
      <formula>0.1</formula>
      <formula>1</formula>
    </cfRule>
    <cfRule type="cellIs" dxfId="1484" priority="987" operator="between">
      <formula>0.001</formula>
      <formula>0.01</formula>
    </cfRule>
    <cfRule type="cellIs" dxfId="1483" priority="988" operator="between">
      <formula>0.0001</formula>
      <formula>0.001</formula>
    </cfRule>
    <cfRule type="cellIs" dxfId="1482" priority="989" operator="between">
      <formula>0.01</formula>
      <formula>0.1</formula>
    </cfRule>
  </conditionalFormatting>
  <conditionalFormatting sqref="D47:D48">
    <cfRule type="cellIs" dxfId="1481" priority="977" operator="greaterThanOrEqual">
      <formula>10</formula>
    </cfRule>
    <cfRule type="cellIs" dxfId="1480" priority="978" operator="between">
      <formula>1</formula>
      <formula>10</formula>
    </cfRule>
    <cfRule type="cellIs" dxfId="1479" priority="979" operator="between">
      <formula>0.1</formula>
      <formula>1</formula>
    </cfRule>
    <cfRule type="cellIs" dxfId="1478" priority="980" operator="between">
      <formula>0.001</formula>
      <formula>0.01</formula>
    </cfRule>
    <cfRule type="cellIs" dxfId="1477" priority="981" operator="between">
      <formula>0</formula>
      <formula>0.001</formula>
    </cfRule>
    <cfRule type="cellIs" dxfId="1476" priority="982" operator="between">
      <formula>0.01</formula>
      <formula>0.1</formula>
    </cfRule>
  </conditionalFormatting>
  <conditionalFormatting sqref="D47:D48">
    <cfRule type="cellIs" dxfId="1475" priority="970" operator="between">
      <formula>0.00000000001</formula>
      <formula>0.0001</formula>
    </cfRule>
    <cfRule type="cellIs" dxfId="1474" priority="971" operator="greaterThanOrEqual">
      <formula>10</formula>
    </cfRule>
    <cfRule type="cellIs" dxfId="1473" priority="972" operator="between">
      <formula>1</formula>
      <formula>10</formula>
    </cfRule>
    <cfRule type="cellIs" dxfId="1472" priority="973" operator="between">
      <formula>0.1</formula>
      <formula>1</formula>
    </cfRule>
    <cfRule type="cellIs" dxfId="1471" priority="974" operator="between">
      <formula>0.001</formula>
      <formula>0.01</formula>
    </cfRule>
    <cfRule type="cellIs" dxfId="1470" priority="975" operator="between">
      <formula>0.0001</formula>
      <formula>0.001</formula>
    </cfRule>
    <cfRule type="cellIs" dxfId="1469" priority="976" operator="between">
      <formula>0.01</formula>
      <formula>0.1</formula>
    </cfRule>
  </conditionalFormatting>
  <conditionalFormatting sqref="I47">
    <cfRule type="cellIs" dxfId="1468" priority="964" operator="greaterThanOrEqual">
      <formula>10</formula>
    </cfRule>
    <cfRule type="cellIs" dxfId="1467" priority="965" operator="between">
      <formula>1</formula>
      <formula>10</formula>
    </cfRule>
    <cfRule type="cellIs" dxfId="1466" priority="966" operator="between">
      <formula>0.1</formula>
      <formula>1</formula>
    </cfRule>
    <cfRule type="cellIs" dxfId="1465" priority="967" operator="between">
      <formula>0.001</formula>
      <formula>0.01</formula>
    </cfRule>
    <cfRule type="cellIs" dxfId="1464" priority="968" operator="between">
      <formula>0</formula>
      <formula>0.001</formula>
    </cfRule>
    <cfRule type="cellIs" dxfId="1463" priority="969" operator="between">
      <formula>0.01</formula>
      <formula>0.1</formula>
    </cfRule>
  </conditionalFormatting>
  <conditionalFormatting sqref="I47">
    <cfRule type="cellIs" dxfId="1462" priority="958" operator="greaterThanOrEqual">
      <formula>10</formula>
    </cfRule>
    <cfRule type="cellIs" dxfId="1461" priority="959" operator="between">
      <formula>1</formula>
      <formula>10</formula>
    </cfRule>
    <cfRule type="cellIs" dxfId="1460" priority="960" operator="between">
      <formula>0.1</formula>
      <formula>1</formula>
    </cfRule>
    <cfRule type="cellIs" dxfId="1459" priority="961" operator="between">
      <formula>0.001</formula>
      <formula>0.01</formula>
    </cfRule>
    <cfRule type="cellIs" dxfId="1458" priority="962" operator="between">
      <formula>0</formula>
      <formula>0.001</formula>
    </cfRule>
    <cfRule type="cellIs" dxfId="1457" priority="963" operator="between">
      <formula>0.01</formula>
      <formula>0.1</formula>
    </cfRule>
  </conditionalFormatting>
  <conditionalFormatting sqref="I47">
    <cfRule type="cellIs" dxfId="1456" priority="952" operator="greaterThanOrEqual">
      <formula>10</formula>
    </cfRule>
    <cfRule type="cellIs" dxfId="1455" priority="953" operator="between">
      <formula>1</formula>
      <formula>10</formula>
    </cfRule>
    <cfRule type="cellIs" dxfId="1454" priority="954" operator="between">
      <formula>0.1</formula>
      <formula>1</formula>
    </cfRule>
    <cfRule type="cellIs" dxfId="1453" priority="955" operator="between">
      <formula>0.001</formula>
      <formula>0.01</formula>
    </cfRule>
    <cfRule type="cellIs" dxfId="1452" priority="956" operator="between">
      <formula>0</formula>
      <formula>0.001</formula>
    </cfRule>
    <cfRule type="cellIs" dxfId="1451" priority="957" operator="between">
      <formula>0.01</formula>
      <formula>0.1</formula>
    </cfRule>
  </conditionalFormatting>
  <conditionalFormatting sqref="I47">
    <cfRule type="cellIs" dxfId="1450" priority="946" operator="greaterThanOrEqual">
      <formula>10</formula>
    </cfRule>
    <cfRule type="cellIs" dxfId="1449" priority="947" operator="between">
      <formula>1</formula>
      <formula>10</formula>
    </cfRule>
    <cfRule type="cellIs" dxfId="1448" priority="948" operator="between">
      <formula>0.1</formula>
      <formula>1</formula>
    </cfRule>
    <cfRule type="cellIs" dxfId="1447" priority="949" operator="between">
      <formula>0.001</formula>
      <formula>0.01</formula>
    </cfRule>
    <cfRule type="cellIs" dxfId="1446" priority="950" operator="between">
      <formula>0</formula>
      <formula>0.001</formula>
    </cfRule>
    <cfRule type="cellIs" dxfId="1445" priority="951" operator="between">
      <formula>0.01</formula>
      <formula>0.1</formula>
    </cfRule>
  </conditionalFormatting>
  <conditionalFormatting sqref="I47">
    <cfRule type="cellIs" dxfId="1444" priority="940" operator="greaterThanOrEqual">
      <formula>10</formula>
    </cfRule>
    <cfRule type="cellIs" dxfId="1443" priority="941" operator="between">
      <formula>1</formula>
      <formula>10</formula>
    </cfRule>
    <cfRule type="cellIs" dxfId="1442" priority="942" operator="between">
      <formula>0.1</formula>
      <formula>1</formula>
    </cfRule>
    <cfRule type="cellIs" dxfId="1441" priority="943" operator="between">
      <formula>0.001</formula>
      <formula>0.01</formula>
    </cfRule>
    <cfRule type="cellIs" dxfId="1440" priority="944" operator="between">
      <formula>0</formula>
      <formula>0.001</formula>
    </cfRule>
    <cfRule type="cellIs" dxfId="1439" priority="945" operator="between">
      <formula>0.01</formula>
      <formula>0.1</formula>
    </cfRule>
  </conditionalFormatting>
  <conditionalFormatting sqref="G47">
    <cfRule type="cellIs" dxfId="1438" priority="933" operator="between">
      <formula>0.00000000001</formula>
      <formula>0.0001</formula>
    </cfRule>
    <cfRule type="cellIs" dxfId="1437" priority="934" operator="greaterThanOrEqual">
      <formula>10</formula>
    </cfRule>
    <cfRule type="cellIs" dxfId="1436" priority="935" operator="between">
      <formula>1</formula>
      <formula>10</formula>
    </cfRule>
    <cfRule type="cellIs" dxfId="1435" priority="936" operator="between">
      <formula>0.1</formula>
      <formula>1</formula>
    </cfRule>
    <cfRule type="cellIs" dxfId="1434" priority="937" operator="between">
      <formula>0.001</formula>
      <formula>0.01</formula>
    </cfRule>
    <cfRule type="cellIs" dxfId="1433" priority="938" operator="between">
      <formula>0.0001</formula>
      <formula>0.001</formula>
    </cfRule>
    <cfRule type="cellIs" dxfId="1432" priority="939" operator="between">
      <formula>0.01</formula>
      <formula>0.1</formula>
    </cfRule>
  </conditionalFormatting>
  <conditionalFormatting sqref="I47">
    <cfRule type="cellIs" dxfId="1431" priority="927" operator="greaterThanOrEqual">
      <formula>10</formula>
    </cfRule>
    <cfRule type="cellIs" dxfId="1430" priority="928" operator="between">
      <formula>1</formula>
      <formula>10</formula>
    </cfRule>
    <cfRule type="cellIs" dxfId="1429" priority="929" operator="between">
      <formula>0.1</formula>
      <formula>1</formula>
    </cfRule>
    <cfRule type="cellIs" dxfId="1428" priority="930" operator="between">
      <formula>0.001</formula>
      <formula>0.01</formula>
    </cfRule>
    <cfRule type="cellIs" dxfId="1427" priority="931" operator="between">
      <formula>0</formula>
      <formula>0.001</formula>
    </cfRule>
    <cfRule type="cellIs" dxfId="1426" priority="932" operator="between">
      <formula>0.01</formula>
      <formula>0.1</formula>
    </cfRule>
  </conditionalFormatting>
  <conditionalFormatting sqref="I47">
    <cfRule type="cellIs" dxfId="1425" priority="920" operator="between">
      <formula>0.00000000001</formula>
      <formula>0.0001</formula>
    </cfRule>
    <cfRule type="cellIs" dxfId="1424" priority="921" operator="greaterThanOrEqual">
      <formula>10</formula>
    </cfRule>
    <cfRule type="cellIs" dxfId="1423" priority="922" operator="between">
      <formula>1</formula>
      <formula>10</formula>
    </cfRule>
    <cfRule type="cellIs" dxfId="1422" priority="923" operator="between">
      <formula>0.1</formula>
      <formula>1</formula>
    </cfRule>
    <cfRule type="cellIs" dxfId="1421" priority="924" operator="between">
      <formula>0.001</formula>
      <formula>0.01</formula>
    </cfRule>
    <cfRule type="cellIs" dxfId="1420" priority="925" operator="between">
      <formula>0.0001</formula>
      <formula>0.001</formula>
    </cfRule>
    <cfRule type="cellIs" dxfId="1419" priority="926" operator="between">
      <formula>0.01</formula>
      <formula>0.1</formula>
    </cfRule>
  </conditionalFormatting>
  <conditionalFormatting sqref="L47">
    <cfRule type="cellIs" dxfId="1418" priority="914" operator="greaterThanOrEqual">
      <formula>10</formula>
    </cfRule>
    <cfRule type="cellIs" dxfId="1417" priority="915" operator="between">
      <formula>1</formula>
      <formula>10</formula>
    </cfRule>
    <cfRule type="cellIs" dxfId="1416" priority="916" operator="between">
      <formula>0.1</formula>
      <formula>1</formula>
    </cfRule>
    <cfRule type="cellIs" dxfId="1415" priority="917" operator="between">
      <formula>0.001</formula>
      <formula>0.01</formula>
    </cfRule>
    <cfRule type="cellIs" dxfId="1414" priority="918" operator="between">
      <formula>0</formula>
      <formula>0.001</formula>
    </cfRule>
    <cfRule type="cellIs" dxfId="1413" priority="919" operator="between">
      <formula>0.01</formula>
      <formula>0.1</formula>
    </cfRule>
  </conditionalFormatting>
  <conditionalFormatting sqref="L47:M47">
    <cfRule type="cellIs" dxfId="1412" priority="913" operator="equal">
      <formula>0</formula>
    </cfRule>
  </conditionalFormatting>
  <conditionalFormatting sqref="N47">
    <cfRule type="cellIs" dxfId="1411" priority="907" operator="greaterThanOrEqual">
      <formula>10</formula>
    </cfRule>
    <cfRule type="cellIs" dxfId="1410" priority="908" operator="between">
      <formula>1</formula>
      <formula>10</formula>
    </cfRule>
    <cfRule type="cellIs" dxfId="1409" priority="909" operator="between">
      <formula>0.1</formula>
      <formula>1</formula>
    </cfRule>
    <cfRule type="cellIs" dxfId="1408" priority="910" operator="between">
      <formula>0.001</formula>
      <formula>0.01</formula>
    </cfRule>
    <cfRule type="cellIs" dxfId="1407" priority="911" operator="between">
      <formula>0</formula>
      <formula>0.001</formula>
    </cfRule>
    <cfRule type="cellIs" dxfId="1406" priority="912" operator="between">
      <formula>0.01</formula>
      <formula>0.1</formula>
    </cfRule>
  </conditionalFormatting>
  <conditionalFormatting sqref="N47">
    <cfRule type="cellIs" dxfId="1405" priority="906" operator="equal">
      <formula>0</formula>
    </cfRule>
  </conditionalFormatting>
  <conditionalFormatting sqref="N47">
    <cfRule type="cellIs" dxfId="1404" priority="900" operator="greaterThanOrEqual">
      <formula>10</formula>
    </cfRule>
    <cfRule type="cellIs" dxfId="1403" priority="901" operator="between">
      <formula>1</formula>
      <formula>10</formula>
    </cfRule>
    <cfRule type="cellIs" dxfId="1402" priority="902" operator="between">
      <formula>0.1</formula>
      <formula>1</formula>
    </cfRule>
    <cfRule type="cellIs" dxfId="1401" priority="903" operator="between">
      <formula>0.001</formula>
      <formula>0.01</formula>
    </cfRule>
    <cfRule type="cellIs" dxfId="1400" priority="904" operator="between">
      <formula>0</formula>
      <formula>0.001</formula>
    </cfRule>
    <cfRule type="cellIs" dxfId="1399" priority="905" operator="between">
      <formula>0.01</formula>
      <formula>0.1</formula>
    </cfRule>
  </conditionalFormatting>
  <conditionalFormatting sqref="N47">
    <cfRule type="cellIs" dxfId="1398" priority="894" operator="greaterThanOrEqual">
      <formula>10</formula>
    </cfRule>
    <cfRule type="cellIs" dxfId="1397" priority="895" operator="between">
      <formula>1</formula>
      <formula>10</formula>
    </cfRule>
    <cfRule type="cellIs" dxfId="1396" priority="896" operator="between">
      <formula>0.1</formula>
      <formula>1</formula>
    </cfRule>
    <cfRule type="cellIs" dxfId="1395" priority="897" operator="between">
      <formula>0.001</formula>
      <formula>0.01</formula>
    </cfRule>
    <cfRule type="cellIs" dxfId="1394" priority="898" operator="between">
      <formula>0</formula>
      <formula>0.001</formula>
    </cfRule>
    <cfRule type="cellIs" dxfId="1393" priority="899" operator="between">
      <formula>0.01</formula>
      <formula>0.1</formula>
    </cfRule>
  </conditionalFormatting>
  <conditionalFormatting sqref="N47">
    <cfRule type="cellIs" dxfId="1392" priority="888" operator="greaterThanOrEqual">
      <formula>10</formula>
    </cfRule>
    <cfRule type="cellIs" dxfId="1391" priority="889" operator="between">
      <formula>1</formula>
      <formula>10</formula>
    </cfRule>
    <cfRule type="cellIs" dxfId="1390" priority="890" operator="between">
      <formula>0.1</formula>
      <formula>1</formula>
    </cfRule>
    <cfRule type="cellIs" dxfId="1389" priority="891" operator="between">
      <formula>0.001</formula>
      <formula>0.01</formula>
    </cfRule>
    <cfRule type="cellIs" dxfId="1388" priority="892" operator="between">
      <formula>0</formula>
      <formula>0.001</formula>
    </cfRule>
    <cfRule type="cellIs" dxfId="1387" priority="893" operator="between">
      <formula>0.01</formula>
      <formula>0.1</formula>
    </cfRule>
  </conditionalFormatting>
  <conditionalFormatting sqref="N47">
    <cfRule type="cellIs" dxfId="1386" priority="882" operator="greaterThanOrEqual">
      <formula>10</formula>
    </cfRule>
    <cfRule type="cellIs" dxfId="1385" priority="883" operator="between">
      <formula>1</formula>
      <formula>10</formula>
    </cfRule>
    <cfRule type="cellIs" dxfId="1384" priority="884" operator="between">
      <formula>0.1</formula>
      <formula>1</formula>
    </cfRule>
    <cfRule type="cellIs" dxfId="1383" priority="885" operator="between">
      <formula>0.001</formula>
      <formula>0.01</formula>
    </cfRule>
    <cfRule type="cellIs" dxfId="1382" priority="886" operator="between">
      <formula>0</formula>
      <formula>0.001</formula>
    </cfRule>
    <cfRule type="cellIs" dxfId="1381" priority="887" operator="between">
      <formula>0.01</formula>
      <formula>0.1</formula>
    </cfRule>
  </conditionalFormatting>
  <conditionalFormatting sqref="N47">
    <cfRule type="cellIs" dxfId="1380" priority="876" operator="greaterThanOrEqual">
      <formula>10</formula>
    </cfRule>
    <cfRule type="cellIs" dxfId="1379" priority="877" operator="between">
      <formula>1</formula>
      <formula>10</formula>
    </cfRule>
    <cfRule type="cellIs" dxfId="1378" priority="878" operator="between">
      <formula>0.1</formula>
      <formula>1</formula>
    </cfRule>
    <cfRule type="cellIs" dxfId="1377" priority="879" operator="between">
      <formula>0.001</formula>
      <formula>0.01</formula>
    </cfRule>
    <cfRule type="cellIs" dxfId="1376" priority="880" operator="between">
      <formula>0</formula>
      <formula>0.001</formula>
    </cfRule>
    <cfRule type="cellIs" dxfId="1375" priority="881" operator="between">
      <formula>0.01</formula>
      <formula>0.1</formula>
    </cfRule>
  </conditionalFormatting>
  <conditionalFormatting sqref="L47">
    <cfRule type="cellIs" dxfId="1374" priority="869" operator="between">
      <formula>0.00000000001</formula>
      <formula>0.0001</formula>
    </cfRule>
    <cfRule type="cellIs" dxfId="1373" priority="870" operator="greaterThanOrEqual">
      <formula>10</formula>
    </cfRule>
    <cfRule type="cellIs" dxfId="1372" priority="871" operator="between">
      <formula>1</formula>
      <formula>10</formula>
    </cfRule>
    <cfRule type="cellIs" dxfId="1371" priority="872" operator="between">
      <formula>0.1</formula>
      <formula>1</formula>
    </cfRule>
    <cfRule type="cellIs" dxfId="1370" priority="873" operator="between">
      <formula>0.001</formula>
      <formula>0.01</formula>
    </cfRule>
    <cfRule type="cellIs" dxfId="1369" priority="874" operator="between">
      <formula>0.0001</formula>
      <formula>0.001</formula>
    </cfRule>
    <cfRule type="cellIs" dxfId="1368" priority="875" operator="between">
      <formula>0.01</formula>
      <formula>0.1</formula>
    </cfRule>
  </conditionalFormatting>
  <conditionalFormatting sqref="N47">
    <cfRule type="cellIs" dxfId="1367" priority="863" operator="greaterThanOrEqual">
      <formula>10</formula>
    </cfRule>
    <cfRule type="cellIs" dxfId="1366" priority="864" operator="between">
      <formula>1</formula>
      <formula>10</formula>
    </cfRule>
    <cfRule type="cellIs" dxfId="1365" priority="865" operator="between">
      <formula>0.1</formula>
      <formula>1</formula>
    </cfRule>
    <cfRule type="cellIs" dxfId="1364" priority="866" operator="between">
      <formula>0.001</formula>
      <formula>0.01</formula>
    </cfRule>
    <cfRule type="cellIs" dxfId="1363" priority="867" operator="between">
      <formula>0</formula>
      <formula>0.001</formula>
    </cfRule>
    <cfRule type="cellIs" dxfId="1362" priority="868" operator="between">
      <formula>0.01</formula>
      <formula>0.1</formula>
    </cfRule>
  </conditionalFormatting>
  <conditionalFormatting sqref="N47">
    <cfRule type="cellIs" dxfId="1361" priority="856" operator="between">
      <formula>0.00000000001</formula>
      <formula>0.0001</formula>
    </cfRule>
    <cfRule type="cellIs" dxfId="1360" priority="857" operator="greaterThanOrEqual">
      <formula>10</formula>
    </cfRule>
    <cfRule type="cellIs" dxfId="1359" priority="858" operator="between">
      <formula>1</formula>
      <formula>10</formula>
    </cfRule>
    <cfRule type="cellIs" dxfId="1358" priority="859" operator="between">
      <formula>0.1</formula>
      <formula>1</formula>
    </cfRule>
    <cfRule type="cellIs" dxfId="1357" priority="860" operator="between">
      <formula>0.001</formula>
      <formula>0.01</formula>
    </cfRule>
    <cfRule type="cellIs" dxfId="1356" priority="861" operator="between">
      <formula>0.0001</formula>
      <formula>0.001</formula>
    </cfRule>
    <cfRule type="cellIs" dxfId="1355" priority="862" operator="between">
      <formula>0.01</formula>
      <formula>0.1</formula>
    </cfRule>
  </conditionalFormatting>
  <conditionalFormatting sqref="I47:I48">
    <cfRule type="cellIs" dxfId="1354" priority="850" operator="greaterThanOrEqual">
      <formula>10</formula>
    </cfRule>
    <cfRule type="cellIs" dxfId="1353" priority="851" operator="between">
      <formula>1</formula>
      <formula>10</formula>
    </cfRule>
    <cfRule type="cellIs" dxfId="1352" priority="852" operator="between">
      <formula>0.1</formula>
      <formula>1</formula>
    </cfRule>
    <cfRule type="cellIs" dxfId="1351" priority="853" operator="between">
      <formula>0.001</formula>
      <formula>0.01</formula>
    </cfRule>
    <cfRule type="cellIs" dxfId="1350" priority="854" operator="between">
      <formula>0</formula>
      <formula>0.001</formula>
    </cfRule>
    <cfRule type="cellIs" dxfId="1349" priority="855" operator="between">
      <formula>0.01</formula>
      <formula>0.1</formula>
    </cfRule>
  </conditionalFormatting>
  <conditionalFormatting sqref="I47:I48">
    <cfRule type="cellIs" dxfId="1348" priority="844" operator="greaterThanOrEqual">
      <formula>10</formula>
    </cfRule>
    <cfRule type="cellIs" dxfId="1347" priority="845" operator="between">
      <formula>1</formula>
      <formula>10</formula>
    </cfRule>
    <cfRule type="cellIs" dxfId="1346" priority="846" operator="between">
      <formula>0.1</formula>
      <formula>1</formula>
    </cfRule>
    <cfRule type="cellIs" dxfId="1345" priority="847" operator="between">
      <formula>0.001</formula>
      <formula>0.01</formula>
    </cfRule>
    <cfRule type="cellIs" dxfId="1344" priority="848" operator="between">
      <formula>0</formula>
      <formula>0.001</formula>
    </cfRule>
    <cfRule type="cellIs" dxfId="1343" priority="849" operator="between">
      <formula>0.01</formula>
      <formula>0.1</formula>
    </cfRule>
  </conditionalFormatting>
  <conditionalFormatting sqref="I47:I48">
    <cfRule type="cellIs" dxfId="1342" priority="838" operator="greaterThanOrEqual">
      <formula>10</formula>
    </cfRule>
    <cfRule type="cellIs" dxfId="1341" priority="839" operator="between">
      <formula>1</formula>
      <formula>10</formula>
    </cfRule>
    <cfRule type="cellIs" dxfId="1340" priority="840" operator="between">
      <formula>0.1</formula>
      <formula>1</formula>
    </cfRule>
    <cfRule type="cellIs" dxfId="1339" priority="841" operator="between">
      <formula>0.001</formula>
      <formula>0.01</formula>
    </cfRule>
    <cfRule type="cellIs" dxfId="1338" priority="842" operator="between">
      <formula>0</formula>
      <formula>0.001</formula>
    </cfRule>
    <cfRule type="cellIs" dxfId="1337" priority="843" operator="between">
      <formula>0.01</formula>
      <formula>0.1</formula>
    </cfRule>
  </conditionalFormatting>
  <conditionalFormatting sqref="I47:I48">
    <cfRule type="cellIs" dxfId="1336" priority="832" operator="greaterThanOrEqual">
      <formula>10</formula>
    </cfRule>
    <cfRule type="cellIs" dxfId="1335" priority="833" operator="between">
      <formula>1</formula>
      <formula>10</formula>
    </cfRule>
    <cfRule type="cellIs" dxfId="1334" priority="834" operator="between">
      <formula>0.1</formula>
      <formula>1</formula>
    </cfRule>
    <cfRule type="cellIs" dxfId="1333" priority="835" operator="between">
      <formula>0.001</formula>
      <formula>0.01</formula>
    </cfRule>
    <cfRule type="cellIs" dxfId="1332" priority="836" operator="between">
      <formula>0</formula>
      <formula>0.001</formula>
    </cfRule>
    <cfRule type="cellIs" dxfId="1331" priority="837" operator="between">
      <formula>0.01</formula>
      <formula>0.1</formula>
    </cfRule>
  </conditionalFormatting>
  <conditionalFormatting sqref="I47:I48">
    <cfRule type="cellIs" dxfId="1330" priority="826" operator="greaterThanOrEqual">
      <formula>10</formula>
    </cfRule>
    <cfRule type="cellIs" dxfId="1329" priority="827" operator="between">
      <formula>1</formula>
      <formula>10</formula>
    </cfRule>
    <cfRule type="cellIs" dxfId="1328" priority="828" operator="between">
      <formula>0.1</formula>
      <formula>1</formula>
    </cfRule>
    <cfRule type="cellIs" dxfId="1327" priority="829" operator="between">
      <formula>0.001</formula>
      <formula>0.01</formula>
    </cfRule>
    <cfRule type="cellIs" dxfId="1326" priority="830" operator="between">
      <formula>0</formula>
      <formula>0.001</formula>
    </cfRule>
    <cfRule type="cellIs" dxfId="1325" priority="831" operator="between">
      <formula>0.01</formula>
      <formula>0.1</formula>
    </cfRule>
  </conditionalFormatting>
  <conditionalFormatting sqref="G47:G48">
    <cfRule type="cellIs" dxfId="1324" priority="819" operator="between">
      <formula>0.00000000001</formula>
      <formula>0.0001</formula>
    </cfRule>
    <cfRule type="cellIs" dxfId="1323" priority="820" operator="greaterThanOrEqual">
      <formula>10</formula>
    </cfRule>
    <cfRule type="cellIs" dxfId="1322" priority="821" operator="between">
      <formula>1</formula>
      <formula>10</formula>
    </cfRule>
    <cfRule type="cellIs" dxfId="1321" priority="822" operator="between">
      <formula>0.1</formula>
      <formula>1</formula>
    </cfRule>
    <cfRule type="cellIs" dxfId="1320" priority="823" operator="between">
      <formula>0.001</formula>
      <formula>0.01</formula>
    </cfRule>
    <cfRule type="cellIs" dxfId="1319" priority="824" operator="between">
      <formula>0.0001</formula>
      <formula>0.001</formula>
    </cfRule>
    <cfRule type="cellIs" dxfId="1318" priority="825" operator="between">
      <formula>0.01</formula>
      <formula>0.1</formula>
    </cfRule>
  </conditionalFormatting>
  <conditionalFormatting sqref="I47:I48">
    <cfRule type="cellIs" dxfId="1317" priority="813" operator="greaterThanOrEqual">
      <formula>10</formula>
    </cfRule>
    <cfRule type="cellIs" dxfId="1316" priority="814" operator="between">
      <formula>1</formula>
      <formula>10</formula>
    </cfRule>
    <cfRule type="cellIs" dxfId="1315" priority="815" operator="between">
      <formula>0.1</formula>
      <formula>1</formula>
    </cfRule>
    <cfRule type="cellIs" dxfId="1314" priority="816" operator="between">
      <formula>0.001</formula>
      <formula>0.01</formula>
    </cfRule>
    <cfRule type="cellIs" dxfId="1313" priority="817" operator="between">
      <formula>0</formula>
      <formula>0.001</formula>
    </cfRule>
    <cfRule type="cellIs" dxfId="1312" priority="818" operator="between">
      <formula>0.01</formula>
      <formula>0.1</formula>
    </cfRule>
  </conditionalFormatting>
  <conditionalFormatting sqref="I47:I48">
    <cfRule type="cellIs" dxfId="1311" priority="806" operator="between">
      <formula>0.00000000001</formula>
      <formula>0.0001</formula>
    </cfRule>
    <cfRule type="cellIs" dxfId="1310" priority="807" operator="greaterThanOrEqual">
      <formula>10</formula>
    </cfRule>
    <cfRule type="cellIs" dxfId="1309" priority="808" operator="between">
      <formula>1</formula>
      <formula>10</formula>
    </cfRule>
    <cfRule type="cellIs" dxfId="1308" priority="809" operator="between">
      <formula>0.1</formula>
      <formula>1</formula>
    </cfRule>
    <cfRule type="cellIs" dxfId="1307" priority="810" operator="between">
      <formula>0.001</formula>
      <formula>0.01</formula>
    </cfRule>
    <cfRule type="cellIs" dxfId="1306" priority="811" operator="between">
      <formula>0.0001</formula>
      <formula>0.001</formula>
    </cfRule>
    <cfRule type="cellIs" dxfId="1305" priority="812" operator="between">
      <formula>0.01</formula>
      <formula>0.1</formula>
    </cfRule>
  </conditionalFormatting>
  <conditionalFormatting sqref="L47:L48">
    <cfRule type="cellIs" dxfId="1304" priority="800" operator="greaterThanOrEqual">
      <formula>10</formula>
    </cfRule>
    <cfRule type="cellIs" dxfId="1303" priority="801" operator="between">
      <formula>1</formula>
      <formula>10</formula>
    </cfRule>
    <cfRule type="cellIs" dxfId="1302" priority="802" operator="between">
      <formula>0.1</formula>
      <formula>1</formula>
    </cfRule>
    <cfRule type="cellIs" dxfId="1301" priority="803" operator="between">
      <formula>0.001</formula>
      <formula>0.01</formula>
    </cfRule>
    <cfRule type="cellIs" dxfId="1300" priority="804" operator="between">
      <formula>0</formula>
      <formula>0.001</formula>
    </cfRule>
    <cfRule type="cellIs" dxfId="1299" priority="805" operator="between">
      <formula>0.01</formula>
      <formula>0.1</formula>
    </cfRule>
  </conditionalFormatting>
  <conditionalFormatting sqref="L47:M48">
    <cfRule type="cellIs" dxfId="1298" priority="799" operator="equal">
      <formula>0</formula>
    </cfRule>
  </conditionalFormatting>
  <conditionalFormatting sqref="N47:N48">
    <cfRule type="cellIs" dxfId="1297" priority="793" operator="greaterThanOrEqual">
      <formula>10</formula>
    </cfRule>
    <cfRule type="cellIs" dxfId="1296" priority="794" operator="between">
      <formula>1</formula>
      <formula>10</formula>
    </cfRule>
    <cfRule type="cellIs" dxfId="1295" priority="795" operator="between">
      <formula>0.1</formula>
      <formula>1</formula>
    </cfRule>
    <cfRule type="cellIs" dxfId="1294" priority="796" operator="between">
      <formula>0.001</formula>
      <formula>0.01</formula>
    </cfRule>
    <cfRule type="cellIs" dxfId="1293" priority="797" operator="between">
      <formula>0</formula>
      <formula>0.001</formula>
    </cfRule>
    <cfRule type="cellIs" dxfId="1292" priority="798" operator="between">
      <formula>0.01</formula>
      <formula>0.1</formula>
    </cfRule>
  </conditionalFormatting>
  <conditionalFormatting sqref="N47:N48">
    <cfRule type="cellIs" dxfId="1291" priority="792" operator="equal">
      <formula>0</formula>
    </cfRule>
  </conditionalFormatting>
  <conditionalFormatting sqref="N47">
    <cfRule type="cellIs" dxfId="1290" priority="786" operator="greaterThanOrEqual">
      <formula>10</formula>
    </cfRule>
    <cfRule type="cellIs" dxfId="1289" priority="787" operator="between">
      <formula>1</formula>
      <formula>10</formula>
    </cfRule>
    <cfRule type="cellIs" dxfId="1288" priority="788" operator="between">
      <formula>0.1</formula>
      <formula>1</formula>
    </cfRule>
    <cfRule type="cellIs" dxfId="1287" priority="789" operator="between">
      <formula>0.001</formula>
      <formula>0.01</formula>
    </cfRule>
    <cfRule type="cellIs" dxfId="1286" priority="790" operator="between">
      <formula>0</formula>
      <formula>0.001</formula>
    </cfRule>
    <cfRule type="cellIs" dxfId="1285" priority="791" operator="between">
      <formula>0.01</formula>
      <formula>0.1</formula>
    </cfRule>
  </conditionalFormatting>
  <conditionalFormatting sqref="N47">
    <cfRule type="cellIs" dxfId="1284" priority="780" operator="greaterThanOrEqual">
      <formula>10</formula>
    </cfRule>
    <cfRule type="cellIs" dxfId="1283" priority="781" operator="between">
      <formula>1</formula>
      <formula>10</formula>
    </cfRule>
    <cfRule type="cellIs" dxfId="1282" priority="782" operator="between">
      <formula>0.1</formula>
      <formula>1</formula>
    </cfRule>
    <cfRule type="cellIs" dxfId="1281" priority="783" operator="between">
      <formula>0.001</formula>
      <formula>0.01</formula>
    </cfRule>
    <cfRule type="cellIs" dxfId="1280" priority="784" operator="between">
      <formula>0</formula>
      <formula>0.001</formula>
    </cfRule>
    <cfRule type="cellIs" dxfId="1279" priority="785" operator="between">
      <formula>0.01</formula>
      <formula>0.1</formula>
    </cfRule>
  </conditionalFormatting>
  <conditionalFormatting sqref="N47">
    <cfRule type="cellIs" dxfId="1278" priority="774" operator="greaterThanOrEqual">
      <formula>10</formula>
    </cfRule>
    <cfRule type="cellIs" dxfId="1277" priority="775" operator="between">
      <formula>1</formula>
      <formula>10</formula>
    </cfRule>
    <cfRule type="cellIs" dxfId="1276" priority="776" operator="between">
      <formula>0.1</formula>
      <formula>1</formula>
    </cfRule>
    <cfRule type="cellIs" dxfId="1275" priority="777" operator="between">
      <formula>0.001</formula>
      <formula>0.01</formula>
    </cfRule>
    <cfRule type="cellIs" dxfId="1274" priority="778" operator="between">
      <formula>0</formula>
      <formula>0.001</formula>
    </cfRule>
    <cfRule type="cellIs" dxfId="1273" priority="779" operator="between">
      <formula>0.01</formula>
      <formula>0.1</formula>
    </cfRule>
  </conditionalFormatting>
  <conditionalFormatting sqref="N47">
    <cfRule type="cellIs" dxfId="1272" priority="768" operator="greaterThanOrEqual">
      <formula>10</formula>
    </cfRule>
    <cfRule type="cellIs" dxfId="1271" priority="769" operator="between">
      <formula>1</formula>
      <formula>10</formula>
    </cfRule>
    <cfRule type="cellIs" dxfId="1270" priority="770" operator="between">
      <formula>0.1</formula>
      <formula>1</formula>
    </cfRule>
    <cfRule type="cellIs" dxfId="1269" priority="771" operator="between">
      <formula>0.001</formula>
      <formula>0.01</formula>
    </cfRule>
    <cfRule type="cellIs" dxfId="1268" priority="772" operator="between">
      <formula>0</formula>
      <formula>0.001</formula>
    </cfRule>
    <cfRule type="cellIs" dxfId="1267" priority="773" operator="between">
      <formula>0.01</formula>
      <formula>0.1</formula>
    </cfRule>
  </conditionalFormatting>
  <conditionalFormatting sqref="N47">
    <cfRule type="cellIs" dxfId="1266" priority="762" operator="greaterThanOrEqual">
      <formula>10</formula>
    </cfRule>
    <cfRule type="cellIs" dxfId="1265" priority="763" operator="between">
      <formula>1</formula>
      <formula>10</formula>
    </cfRule>
    <cfRule type="cellIs" dxfId="1264" priority="764" operator="between">
      <formula>0.1</formula>
      <formula>1</formula>
    </cfRule>
    <cfRule type="cellIs" dxfId="1263" priority="765" operator="between">
      <formula>0.001</formula>
      <formula>0.01</formula>
    </cfRule>
    <cfRule type="cellIs" dxfId="1262" priority="766" operator="between">
      <formula>0</formula>
      <formula>0.001</formula>
    </cfRule>
    <cfRule type="cellIs" dxfId="1261" priority="767" operator="between">
      <formula>0.01</formula>
      <formula>0.1</formula>
    </cfRule>
  </conditionalFormatting>
  <conditionalFormatting sqref="L47">
    <cfRule type="cellIs" dxfId="1260" priority="755" operator="between">
      <formula>0.00000000001</formula>
      <formula>0.0001</formula>
    </cfRule>
    <cfRule type="cellIs" dxfId="1259" priority="756" operator="greaterThanOrEqual">
      <formula>10</formula>
    </cfRule>
    <cfRule type="cellIs" dxfId="1258" priority="757" operator="between">
      <formula>1</formula>
      <formula>10</formula>
    </cfRule>
    <cfRule type="cellIs" dxfId="1257" priority="758" operator="between">
      <formula>0.1</formula>
      <formula>1</formula>
    </cfRule>
    <cfRule type="cellIs" dxfId="1256" priority="759" operator="between">
      <formula>0.001</formula>
      <formula>0.01</formula>
    </cfRule>
    <cfRule type="cellIs" dxfId="1255" priority="760" operator="between">
      <formula>0.0001</formula>
      <formula>0.001</formula>
    </cfRule>
    <cfRule type="cellIs" dxfId="1254" priority="761" operator="between">
      <formula>0.01</formula>
      <formula>0.1</formula>
    </cfRule>
  </conditionalFormatting>
  <conditionalFormatting sqref="N47">
    <cfRule type="cellIs" dxfId="1253" priority="749" operator="greaterThanOrEqual">
      <formula>10</formula>
    </cfRule>
    <cfRule type="cellIs" dxfId="1252" priority="750" operator="between">
      <formula>1</formula>
      <formula>10</formula>
    </cfRule>
    <cfRule type="cellIs" dxfId="1251" priority="751" operator="between">
      <formula>0.1</formula>
      <formula>1</formula>
    </cfRule>
    <cfRule type="cellIs" dxfId="1250" priority="752" operator="between">
      <formula>0.001</formula>
      <formula>0.01</formula>
    </cfRule>
    <cfRule type="cellIs" dxfId="1249" priority="753" operator="between">
      <formula>0</formula>
      <formula>0.001</formula>
    </cfRule>
    <cfRule type="cellIs" dxfId="1248" priority="754" operator="between">
      <formula>0.01</formula>
      <formula>0.1</formula>
    </cfRule>
  </conditionalFormatting>
  <conditionalFormatting sqref="N47">
    <cfRule type="cellIs" dxfId="1247" priority="742" operator="between">
      <formula>0.00000000001</formula>
      <formula>0.0001</formula>
    </cfRule>
    <cfRule type="cellIs" dxfId="1246" priority="743" operator="greaterThanOrEqual">
      <formula>10</formula>
    </cfRule>
    <cfRule type="cellIs" dxfId="1245" priority="744" operator="between">
      <formula>1</formula>
      <formula>10</formula>
    </cfRule>
    <cfRule type="cellIs" dxfId="1244" priority="745" operator="between">
      <formula>0.1</formula>
      <formula>1</formula>
    </cfRule>
    <cfRule type="cellIs" dxfId="1243" priority="746" operator="between">
      <formula>0.001</formula>
      <formula>0.01</formula>
    </cfRule>
    <cfRule type="cellIs" dxfId="1242" priority="747" operator="between">
      <formula>0.0001</formula>
      <formula>0.001</formula>
    </cfRule>
    <cfRule type="cellIs" dxfId="1241" priority="748" operator="between">
      <formula>0.01</formula>
      <formula>0.1</formula>
    </cfRule>
  </conditionalFormatting>
  <conditionalFormatting sqref="N47:N48">
    <cfRule type="cellIs" dxfId="1240" priority="736" operator="greaterThanOrEqual">
      <formula>10</formula>
    </cfRule>
    <cfRule type="cellIs" dxfId="1239" priority="737" operator="between">
      <formula>1</formula>
      <formula>10</formula>
    </cfRule>
    <cfRule type="cellIs" dxfId="1238" priority="738" operator="between">
      <formula>0.1</formula>
      <formula>1</formula>
    </cfRule>
    <cfRule type="cellIs" dxfId="1237" priority="739" operator="between">
      <formula>0.001</formula>
      <formula>0.01</formula>
    </cfRule>
    <cfRule type="cellIs" dxfId="1236" priority="740" operator="between">
      <formula>0</formula>
      <formula>0.001</formula>
    </cfRule>
    <cfRule type="cellIs" dxfId="1235" priority="741" operator="between">
      <formula>0.01</formula>
      <formula>0.1</formula>
    </cfRule>
  </conditionalFormatting>
  <conditionalFormatting sqref="N47:N48">
    <cfRule type="cellIs" dxfId="1234" priority="730" operator="greaterThanOrEqual">
      <formula>10</formula>
    </cfRule>
    <cfRule type="cellIs" dxfId="1233" priority="731" operator="between">
      <formula>1</formula>
      <formula>10</formula>
    </cfRule>
    <cfRule type="cellIs" dxfId="1232" priority="732" operator="between">
      <formula>0.1</formula>
      <formula>1</formula>
    </cfRule>
    <cfRule type="cellIs" dxfId="1231" priority="733" operator="between">
      <formula>0.001</formula>
      <formula>0.01</formula>
    </cfRule>
    <cfRule type="cellIs" dxfId="1230" priority="734" operator="between">
      <formula>0</formula>
      <formula>0.001</formula>
    </cfRule>
    <cfRule type="cellIs" dxfId="1229" priority="735" operator="between">
      <formula>0.01</formula>
      <formula>0.1</formula>
    </cfRule>
  </conditionalFormatting>
  <conditionalFormatting sqref="N47:N48">
    <cfRule type="cellIs" dxfId="1228" priority="724" operator="greaterThanOrEqual">
      <formula>10</formula>
    </cfRule>
    <cfRule type="cellIs" dxfId="1227" priority="725" operator="between">
      <formula>1</formula>
      <formula>10</formula>
    </cfRule>
    <cfRule type="cellIs" dxfId="1226" priority="726" operator="between">
      <formula>0.1</formula>
      <formula>1</formula>
    </cfRule>
    <cfRule type="cellIs" dxfId="1225" priority="727" operator="between">
      <formula>0.001</formula>
      <formula>0.01</formula>
    </cfRule>
    <cfRule type="cellIs" dxfId="1224" priority="728" operator="between">
      <formula>0</formula>
      <formula>0.001</formula>
    </cfRule>
    <cfRule type="cellIs" dxfId="1223" priority="729" operator="between">
      <formula>0.01</formula>
      <formula>0.1</formula>
    </cfRule>
  </conditionalFormatting>
  <conditionalFormatting sqref="N47:N48">
    <cfRule type="cellIs" dxfId="1222" priority="718" operator="greaterThanOrEqual">
      <formula>10</formula>
    </cfRule>
    <cfRule type="cellIs" dxfId="1221" priority="719" operator="between">
      <formula>1</formula>
      <formula>10</formula>
    </cfRule>
    <cfRule type="cellIs" dxfId="1220" priority="720" operator="between">
      <formula>0.1</formula>
      <formula>1</formula>
    </cfRule>
    <cfRule type="cellIs" dxfId="1219" priority="721" operator="between">
      <formula>0.001</formula>
      <formula>0.01</formula>
    </cfRule>
    <cfRule type="cellIs" dxfId="1218" priority="722" operator="between">
      <formula>0</formula>
      <formula>0.001</formula>
    </cfRule>
    <cfRule type="cellIs" dxfId="1217" priority="723" operator="between">
      <formula>0.01</formula>
      <formula>0.1</formula>
    </cfRule>
  </conditionalFormatting>
  <conditionalFormatting sqref="N47:N48">
    <cfRule type="cellIs" dxfId="1216" priority="712" operator="greaterThanOrEqual">
      <formula>10</formula>
    </cfRule>
    <cfRule type="cellIs" dxfId="1215" priority="713" operator="between">
      <formula>1</formula>
      <formula>10</formula>
    </cfRule>
    <cfRule type="cellIs" dxfId="1214" priority="714" operator="between">
      <formula>0.1</formula>
      <formula>1</formula>
    </cfRule>
    <cfRule type="cellIs" dxfId="1213" priority="715" operator="between">
      <formula>0.001</formula>
      <formula>0.01</formula>
    </cfRule>
    <cfRule type="cellIs" dxfId="1212" priority="716" operator="between">
      <formula>0</formula>
      <formula>0.001</formula>
    </cfRule>
    <cfRule type="cellIs" dxfId="1211" priority="717" operator="between">
      <formula>0.01</formula>
      <formula>0.1</formula>
    </cfRule>
  </conditionalFormatting>
  <conditionalFormatting sqref="L47:L48">
    <cfRule type="cellIs" dxfId="1210" priority="705" operator="between">
      <formula>0.00000000001</formula>
      <formula>0.0001</formula>
    </cfRule>
    <cfRule type="cellIs" dxfId="1209" priority="706" operator="greaterThanOrEqual">
      <formula>10</formula>
    </cfRule>
    <cfRule type="cellIs" dxfId="1208" priority="707" operator="between">
      <formula>1</formula>
      <formula>10</formula>
    </cfRule>
    <cfRule type="cellIs" dxfId="1207" priority="708" operator="between">
      <formula>0.1</formula>
      <formula>1</formula>
    </cfRule>
    <cfRule type="cellIs" dxfId="1206" priority="709" operator="between">
      <formula>0.001</formula>
      <formula>0.01</formula>
    </cfRule>
    <cfRule type="cellIs" dxfId="1205" priority="710" operator="between">
      <formula>0.0001</formula>
      <formula>0.001</formula>
    </cfRule>
    <cfRule type="cellIs" dxfId="1204" priority="711" operator="between">
      <formula>0.01</formula>
      <formula>0.1</formula>
    </cfRule>
  </conditionalFormatting>
  <conditionalFormatting sqref="N47:N48">
    <cfRule type="cellIs" dxfId="1203" priority="699" operator="greaterThanOrEqual">
      <formula>10</formula>
    </cfRule>
    <cfRule type="cellIs" dxfId="1202" priority="700" operator="between">
      <formula>1</formula>
      <formula>10</formula>
    </cfRule>
    <cfRule type="cellIs" dxfId="1201" priority="701" operator="between">
      <formula>0.1</formula>
      <formula>1</formula>
    </cfRule>
    <cfRule type="cellIs" dxfId="1200" priority="702" operator="between">
      <formula>0.001</formula>
      <formula>0.01</formula>
    </cfRule>
    <cfRule type="cellIs" dxfId="1199" priority="703" operator="between">
      <formula>0</formula>
      <formula>0.001</formula>
    </cfRule>
    <cfRule type="cellIs" dxfId="1198" priority="704" operator="between">
      <formula>0.01</formula>
      <formula>0.1</formula>
    </cfRule>
  </conditionalFormatting>
  <conditionalFormatting sqref="N47:N48">
    <cfRule type="cellIs" dxfId="1197" priority="692" operator="between">
      <formula>0.00000000001</formula>
      <formula>0.0001</formula>
    </cfRule>
    <cfRule type="cellIs" dxfId="1196" priority="693" operator="greaterThanOrEqual">
      <formula>10</formula>
    </cfRule>
    <cfRule type="cellIs" dxfId="1195" priority="694" operator="between">
      <formula>1</formula>
      <formula>10</formula>
    </cfRule>
    <cfRule type="cellIs" dxfId="1194" priority="695" operator="between">
      <formula>0.1</formula>
      <formula>1</formula>
    </cfRule>
    <cfRule type="cellIs" dxfId="1193" priority="696" operator="between">
      <formula>0.001</formula>
      <formula>0.01</formula>
    </cfRule>
    <cfRule type="cellIs" dxfId="1192" priority="697" operator="between">
      <formula>0.0001</formula>
      <formula>0.001</formula>
    </cfRule>
    <cfRule type="cellIs" dxfId="1191" priority="698" operator="between">
      <formula>0.01</formula>
      <formula>0.1</formula>
    </cfRule>
  </conditionalFormatting>
  <conditionalFormatting sqref="L57">
    <cfRule type="cellIs" dxfId="1190" priority="686" operator="greaterThanOrEqual">
      <formula>10</formula>
    </cfRule>
    <cfRule type="cellIs" dxfId="1189" priority="687" operator="between">
      <formula>1</formula>
      <formula>10</formula>
    </cfRule>
    <cfRule type="cellIs" dxfId="1188" priority="688" operator="between">
      <formula>0.1</formula>
      <formula>1</formula>
    </cfRule>
    <cfRule type="cellIs" dxfId="1187" priority="689" operator="between">
      <formula>0.001</formula>
      <formula>0.01</formula>
    </cfRule>
    <cfRule type="cellIs" dxfId="1186" priority="690" operator="between">
      <formula>0</formula>
      <formula>0.001</formula>
    </cfRule>
    <cfRule type="cellIs" dxfId="1185" priority="691" operator="between">
      <formula>0.01</formula>
      <formula>0.1</formula>
    </cfRule>
  </conditionalFormatting>
  <conditionalFormatting sqref="L57">
    <cfRule type="cellIs" dxfId="1184" priority="685" operator="equal">
      <formula>0</formula>
    </cfRule>
  </conditionalFormatting>
  <conditionalFormatting sqref="N57">
    <cfRule type="cellIs" dxfId="1183" priority="679" operator="greaterThanOrEqual">
      <formula>10</formula>
    </cfRule>
    <cfRule type="cellIs" dxfId="1182" priority="680" operator="between">
      <formula>1</formula>
      <formula>10</formula>
    </cfRule>
    <cfRule type="cellIs" dxfId="1181" priority="681" operator="between">
      <formula>0.1</formula>
      <formula>1</formula>
    </cfRule>
    <cfRule type="cellIs" dxfId="1180" priority="682" operator="between">
      <formula>0.001</formula>
      <formula>0.01</formula>
    </cfRule>
    <cfRule type="cellIs" dxfId="1179" priority="683" operator="between">
      <formula>0</formula>
      <formula>0.001</formula>
    </cfRule>
    <cfRule type="cellIs" dxfId="1178" priority="684" operator="between">
      <formula>0.01</formula>
      <formula>0.1</formula>
    </cfRule>
  </conditionalFormatting>
  <conditionalFormatting sqref="N57">
    <cfRule type="cellIs" dxfId="1177" priority="678" operator="equal">
      <formula>0</formula>
    </cfRule>
  </conditionalFormatting>
  <conditionalFormatting sqref="L57">
    <cfRule type="cellIs" dxfId="1176" priority="671" operator="between">
      <formula>0</formula>
      <formula>0.0001</formula>
    </cfRule>
    <cfRule type="cellIs" dxfId="1175" priority="672" operator="greaterThanOrEqual">
      <formula>10</formula>
    </cfRule>
    <cfRule type="cellIs" dxfId="1174" priority="673" operator="between">
      <formula>1</formula>
      <formula>10</formula>
    </cfRule>
    <cfRule type="cellIs" dxfId="1173" priority="674" operator="between">
      <formula>0.1</formula>
      <formula>1</formula>
    </cfRule>
    <cfRule type="cellIs" dxfId="1172" priority="675" operator="between">
      <formula>0.001</formula>
      <formula>0.01</formula>
    </cfRule>
    <cfRule type="cellIs" dxfId="1171" priority="676" operator="between">
      <formula>0.0001</formula>
      <formula>0.001</formula>
    </cfRule>
    <cfRule type="cellIs" dxfId="1170" priority="677" operator="between">
      <formula>0.01</formula>
      <formula>0.1</formula>
    </cfRule>
  </conditionalFormatting>
  <conditionalFormatting sqref="L57">
    <cfRule type="cellIs" dxfId="1169" priority="664" operator="between">
      <formula>0</formula>
      <formula>0.0001</formula>
    </cfRule>
    <cfRule type="cellIs" dxfId="1168" priority="665" operator="greaterThanOrEqual">
      <formula>10</formula>
    </cfRule>
    <cfRule type="cellIs" dxfId="1167" priority="666" operator="between">
      <formula>1</formula>
      <formula>10</formula>
    </cfRule>
    <cfRule type="cellIs" dxfId="1166" priority="667" operator="between">
      <formula>0.1</formula>
      <formula>1</formula>
    </cfRule>
    <cfRule type="cellIs" dxfId="1165" priority="668" operator="between">
      <formula>0.001</formula>
      <formula>0.01</formula>
    </cfRule>
    <cfRule type="cellIs" dxfId="1164" priority="669" operator="between">
      <formula>0.0001</formula>
      <formula>0.001</formula>
    </cfRule>
    <cfRule type="cellIs" dxfId="1163" priority="670" operator="between">
      <formula>0.01</formula>
      <formula>0.1</formula>
    </cfRule>
  </conditionalFormatting>
  <conditionalFormatting sqref="N57">
    <cfRule type="cellIs" dxfId="1162" priority="658" operator="greaterThanOrEqual">
      <formula>10</formula>
    </cfRule>
    <cfRule type="cellIs" dxfId="1161" priority="659" operator="between">
      <formula>1</formula>
      <formula>10</formula>
    </cfRule>
    <cfRule type="cellIs" dxfId="1160" priority="660" operator="between">
      <formula>0.1</formula>
      <formula>1</formula>
    </cfRule>
    <cfRule type="cellIs" dxfId="1159" priority="661" operator="between">
      <formula>0.001</formula>
      <formula>0.01</formula>
    </cfRule>
    <cfRule type="cellIs" dxfId="1158" priority="662" operator="between">
      <formula>0</formula>
      <formula>0.001</formula>
    </cfRule>
    <cfRule type="cellIs" dxfId="1157" priority="663" operator="between">
      <formula>0.01</formula>
      <formula>0.1</formula>
    </cfRule>
  </conditionalFormatting>
  <conditionalFormatting sqref="N57">
    <cfRule type="cellIs" dxfId="1156" priority="652" operator="greaterThanOrEqual">
      <formula>10</formula>
    </cfRule>
    <cfRule type="cellIs" dxfId="1155" priority="653" operator="between">
      <formula>1</formula>
      <formula>10</formula>
    </cfRule>
    <cfRule type="cellIs" dxfId="1154" priority="654" operator="between">
      <formula>0.1</formula>
      <formula>1</formula>
    </cfRule>
    <cfRule type="cellIs" dxfId="1153" priority="655" operator="between">
      <formula>0.001</formula>
      <formula>0.01</formula>
    </cfRule>
    <cfRule type="cellIs" dxfId="1152" priority="656" operator="between">
      <formula>0</formula>
      <formula>0.001</formula>
    </cfRule>
    <cfRule type="cellIs" dxfId="1151" priority="657" operator="between">
      <formula>0.01</formula>
      <formula>0.1</formula>
    </cfRule>
  </conditionalFormatting>
  <conditionalFormatting sqref="N57">
    <cfRule type="cellIs" dxfId="1150" priority="646" operator="greaterThanOrEqual">
      <formula>10</formula>
    </cfRule>
    <cfRule type="cellIs" dxfId="1149" priority="647" operator="between">
      <formula>1</formula>
      <formula>10</formula>
    </cfRule>
    <cfRule type="cellIs" dxfId="1148" priority="648" operator="between">
      <formula>0.1</formula>
      <formula>1</formula>
    </cfRule>
    <cfRule type="cellIs" dxfId="1147" priority="649" operator="between">
      <formula>0.001</formula>
      <formula>0.01</formula>
    </cfRule>
    <cfRule type="cellIs" dxfId="1146" priority="650" operator="between">
      <formula>0</formula>
      <formula>0.001</formula>
    </cfRule>
    <cfRule type="cellIs" dxfId="1145" priority="651" operator="between">
      <formula>0.01</formula>
      <formula>0.1</formula>
    </cfRule>
  </conditionalFormatting>
  <conditionalFormatting sqref="N57">
    <cfRule type="cellIs" dxfId="1144" priority="640" operator="greaterThanOrEqual">
      <formula>10</formula>
    </cfRule>
    <cfRule type="cellIs" dxfId="1143" priority="641" operator="between">
      <formula>1</formula>
      <formula>10</formula>
    </cfRule>
    <cfRule type="cellIs" dxfId="1142" priority="642" operator="between">
      <formula>0.1</formula>
      <formula>1</formula>
    </cfRule>
    <cfRule type="cellIs" dxfId="1141" priority="643" operator="between">
      <formula>0.001</formula>
      <formula>0.01</formula>
    </cfRule>
    <cfRule type="cellIs" dxfId="1140" priority="644" operator="between">
      <formula>0</formula>
      <formula>0.001</formula>
    </cfRule>
    <cfRule type="cellIs" dxfId="1139" priority="645" operator="between">
      <formula>0.01</formula>
      <formula>0.1</formula>
    </cfRule>
  </conditionalFormatting>
  <conditionalFormatting sqref="N57">
    <cfRule type="cellIs" dxfId="1138" priority="634" operator="greaterThanOrEqual">
      <formula>10</formula>
    </cfRule>
    <cfRule type="cellIs" dxfId="1137" priority="635" operator="between">
      <formula>1</formula>
      <formula>10</formula>
    </cfRule>
    <cfRule type="cellIs" dxfId="1136" priority="636" operator="between">
      <formula>0.1</formula>
      <formula>1</formula>
    </cfRule>
    <cfRule type="cellIs" dxfId="1135" priority="637" operator="between">
      <formula>0.001</formula>
      <formula>0.01</formula>
    </cfRule>
    <cfRule type="cellIs" dxfId="1134" priority="638" operator="between">
      <formula>0</formula>
      <formula>0.001</formula>
    </cfRule>
    <cfRule type="cellIs" dxfId="1133" priority="639" operator="between">
      <formula>0.01</formula>
      <formula>0.1</formula>
    </cfRule>
  </conditionalFormatting>
  <conditionalFormatting sqref="L57">
    <cfRule type="cellIs" dxfId="1132" priority="627" operator="between">
      <formula>0.00000000001</formula>
      <formula>0.0001</formula>
    </cfRule>
    <cfRule type="cellIs" dxfId="1131" priority="628" operator="greaterThanOrEqual">
      <formula>10</formula>
    </cfRule>
    <cfRule type="cellIs" dxfId="1130" priority="629" operator="between">
      <formula>1</formula>
      <formula>10</formula>
    </cfRule>
    <cfRule type="cellIs" dxfId="1129" priority="630" operator="between">
      <formula>0.1</formula>
      <formula>1</formula>
    </cfRule>
    <cfRule type="cellIs" dxfId="1128" priority="631" operator="between">
      <formula>0.001</formula>
      <formula>0.01</formula>
    </cfRule>
    <cfRule type="cellIs" dxfId="1127" priority="632" operator="between">
      <formula>0.0001</formula>
      <formula>0.001</formula>
    </cfRule>
    <cfRule type="cellIs" dxfId="1126" priority="633" operator="between">
      <formula>0.01</formula>
      <formula>0.1</formula>
    </cfRule>
  </conditionalFormatting>
  <conditionalFormatting sqref="N57">
    <cfRule type="cellIs" dxfId="1125" priority="621" operator="greaterThanOrEqual">
      <formula>10</formula>
    </cfRule>
    <cfRule type="cellIs" dxfId="1124" priority="622" operator="between">
      <formula>1</formula>
      <formula>10</formula>
    </cfRule>
    <cfRule type="cellIs" dxfId="1123" priority="623" operator="between">
      <formula>0.1</formula>
      <formula>1</formula>
    </cfRule>
    <cfRule type="cellIs" dxfId="1122" priority="624" operator="between">
      <formula>0.001</formula>
      <formula>0.01</formula>
    </cfRule>
    <cfRule type="cellIs" dxfId="1121" priority="625" operator="between">
      <formula>0</formula>
      <formula>0.001</formula>
    </cfRule>
    <cfRule type="cellIs" dxfId="1120" priority="626" operator="between">
      <formula>0.01</formula>
      <formula>0.1</formula>
    </cfRule>
  </conditionalFormatting>
  <conditionalFormatting sqref="N57">
    <cfRule type="cellIs" dxfId="1119" priority="615" operator="greaterThanOrEqual">
      <formula>10</formula>
    </cfRule>
    <cfRule type="cellIs" dxfId="1118" priority="616" operator="between">
      <formula>1</formula>
      <formula>10</formula>
    </cfRule>
    <cfRule type="cellIs" dxfId="1117" priority="617" operator="between">
      <formula>0.1</formula>
      <formula>1</formula>
    </cfRule>
    <cfRule type="cellIs" dxfId="1116" priority="618" operator="between">
      <formula>0.001</formula>
      <formula>0.01</formula>
    </cfRule>
    <cfRule type="cellIs" dxfId="1115" priority="619" operator="between">
      <formula>0</formula>
      <formula>0.001</formula>
    </cfRule>
    <cfRule type="cellIs" dxfId="1114" priority="620" operator="between">
      <formula>0.01</formula>
      <formula>0.1</formula>
    </cfRule>
  </conditionalFormatting>
  <conditionalFormatting sqref="N57">
    <cfRule type="cellIs" dxfId="1113" priority="609" operator="greaterThanOrEqual">
      <formula>10</formula>
    </cfRule>
    <cfRule type="cellIs" dxfId="1112" priority="610" operator="between">
      <formula>1</formula>
      <formula>10</formula>
    </cfRule>
    <cfRule type="cellIs" dxfId="1111" priority="611" operator="between">
      <formula>0.1</formula>
      <formula>1</formula>
    </cfRule>
    <cfRule type="cellIs" dxfId="1110" priority="612" operator="between">
      <formula>0.001</formula>
      <formula>0.01</formula>
    </cfRule>
    <cfRule type="cellIs" dxfId="1109" priority="613" operator="between">
      <formula>0</formula>
      <formula>0.001</formula>
    </cfRule>
    <cfRule type="cellIs" dxfId="1108" priority="614" operator="between">
      <formula>0.01</formula>
      <formula>0.1</formula>
    </cfRule>
  </conditionalFormatting>
  <conditionalFormatting sqref="N57">
    <cfRule type="cellIs" dxfId="1107" priority="603" operator="greaterThanOrEqual">
      <formula>10</formula>
    </cfRule>
    <cfRule type="cellIs" dxfId="1106" priority="604" operator="between">
      <formula>1</formula>
      <formula>10</formula>
    </cfRule>
    <cfRule type="cellIs" dxfId="1105" priority="605" operator="between">
      <formula>0.1</formula>
      <formula>1</formula>
    </cfRule>
    <cfRule type="cellIs" dxfId="1104" priority="606" operator="between">
      <formula>0.001</formula>
      <formula>0.01</formula>
    </cfRule>
    <cfRule type="cellIs" dxfId="1103" priority="607" operator="between">
      <formula>0</formula>
      <formula>0.001</formula>
    </cfRule>
    <cfRule type="cellIs" dxfId="1102" priority="608" operator="between">
      <formula>0.01</formula>
      <formula>0.1</formula>
    </cfRule>
  </conditionalFormatting>
  <conditionalFormatting sqref="N57">
    <cfRule type="cellIs" dxfId="1101" priority="597" operator="greaterThanOrEqual">
      <formula>10</formula>
    </cfRule>
    <cfRule type="cellIs" dxfId="1100" priority="598" operator="between">
      <formula>1</formula>
      <formula>10</formula>
    </cfRule>
    <cfRule type="cellIs" dxfId="1099" priority="599" operator="between">
      <formula>0.1</formula>
      <formula>1</formula>
    </cfRule>
    <cfRule type="cellIs" dxfId="1098" priority="600" operator="between">
      <formula>0.001</formula>
      <formula>0.01</formula>
    </cfRule>
    <cfRule type="cellIs" dxfId="1097" priority="601" operator="between">
      <formula>0</formula>
      <formula>0.001</formula>
    </cfRule>
    <cfRule type="cellIs" dxfId="1096" priority="602" operator="between">
      <formula>0.01</formula>
      <formula>0.1</formula>
    </cfRule>
  </conditionalFormatting>
  <conditionalFormatting sqref="N57">
    <cfRule type="cellIs" dxfId="1095" priority="591" operator="greaterThanOrEqual">
      <formula>10</formula>
    </cfRule>
    <cfRule type="cellIs" dxfId="1094" priority="592" operator="between">
      <formula>1</formula>
      <formula>10</formula>
    </cfRule>
    <cfRule type="cellIs" dxfId="1093" priority="593" operator="between">
      <formula>0.1</formula>
      <formula>1</formula>
    </cfRule>
    <cfRule type="cellIs" dxfId="1092" priority="594" operator="between">
      <formula>0.001</formula>
      <formula>0.01</formula>
    </cfRule>
    <cfRule type="cellIs" dxfId="1091" priority="595" operator="between">
      <formula>0</formula>
      <formula>0.001</formula>
    </cfRule>
    <cfRule type="cellIs" dxfId="1090" priority="596" operator="between">
      <formula>0.01</formula>
      <formula>0.1</formula>
    </cfRule>
  </conditionalFormatting>
  <conditionalFormatting sqref="N57">
    <cfRule type="cellIs" dxfId="1089" priority="585" operator="greaterThanOrEqual">
      <formula>10</formula>
    </cfRule>
    <cfRule type="cellIs" dxfId="1088" priority="586" operator="between">
      <formula>1</formula>
      <formula>10</formula>
    </cfRule>
    <cfRule type="cellIs" dxfId="1087" priority="587" operator="between">
      <formula>0.1</formula>
      <formula>1</formula>
    </cfRule>
    <cfRule type="cellIs" dxfId="1086" priority="588" operator="between">
      <formula>0.001</formula>
      <formula>0.01</formula>
    </cfRule>
    <cfRule type="cellIs" dxfId="1085" priority="589" operator="between">
      <formula>0</formula>
      <formula>0.001</formula>
    </cfRule>
    <cfRule type="cellIs" dxfId="1084" priority="590" operator="between">
      <formula>0.01</formula>
      <formula>0.1</formula>
    </cfRule>
  </conditionalFormatting>
  <conditionalFormatting sqref="N57">
    <cfRule type="cellIs" dxfId="1083" priority="579" operator="greaterThanOrEqual">
      <formula>10</formula>
    </cfRule>
    <cfRule type="cellIs" dxfId="1082" priority="580" operator="between">
      <formula>1</formula>
      <formula>10</formula>
    </cfRule>
    <cfRule type="cellIs" dxfId="1081" priority="581" operator="between">
      <formula>0.1</formula>
      <formula>1</formula>
    </cfRule>
    <cfRule type="cellIs" dxfId="1080" priority="582" operator="between">
      <formula>0.001</formula>
      <formula>0.01</formula>
    </cfRule>
    <cfRule type="cellIs" dxfId="1079" priority="583" operator="between">
      <formula>0</formula>
      <formula>0.001</formula>
    </cfRule>
    <cfRule type="cellIs" dxfId="1078" priority="584" operator="between">
      <formula>0.01</formula>
      <formula>0.1</formula>
    </cfRule>
  </conditionalFormatting>
  <conditionalFormatting sqref="N57">
    <cfRule type="cellIs" dxfId="1077" priority="573" operator="greaterThanOrEqual">
      <formula>10</formula>
    </cfRule>
    <cfRule type="cellIs" dxfId="1076" priority="574" operator="between">
      <formula>1</formula>
      <formula>10</formula>
    </cfRule>
    <cfRule type="cellIs" dxfId="1075" priority="575" operator="between">
      <formula>0.1</formula>
      <formula>1</formula>
    </cfRule>
    <cfRule type="cellIs" dxfId="1074" priority="576" operator="between">
      <formula>0.001</formula>
      <formula>0.01</formula>
    </cfRule>
    <cfRule type="cellIs" dxfId="1073" priority="577" operator="between">
      <formula>0</formula>
      <formula>0.001</formula>
    </cfRule>
    <cfRule type="cellIs" dxfId="1072" priority="578" operator="between">
      <formula>0.01</formula>
      <formula>0.1</formula>
    </cfRule>
  </conditionalFormatting>
  <conditionalFormatting sqref="N57">
    <cfRule type="cellIs" dxfId="1071" priority="567" operator="greaterThanOrEqual">
      <formula>10</formula>
    </cfRule>
    <cfRule type="cellIs" dxfId="1070" priority="568" operator="between">
      <formula>1</formula>
      <formula>10</formula>
    </cfRule>
    <cfRule type="cellIs" dxfId="1069" priority="569" operator="between">
      <formula>0.1</formula>
      <formula>1</formula>
    </cfRule>
    <cfRule type="cellIs" dxfId="1068" priority="570" operator="between">
      <formula>0.001</formula>
      <formula>0.01</formula>
    </cfRule>
    <cfRule type="cellIs" dxfId="1067" priority="571" operator="between">
      <formula>0</formula>
      <formula>0.001</formula>
    </cfRule>
    <cfRule type="cellIs" dxfId="1066" priority="572" operator="between">
      <formula>0.01</formula>
      <formula>0.1</formula>
    </cfRule>
  </conditionalFormatting>
  <conditionalFormatting sqref="N57">
    <cfRule type="cellIs" dxfId="1065" priority="561" operator="greaterThanOrEqual">
      <formula>10</formula>
    </cfRule>
    <cfRule type="cellIs" dxfId="1064" priority="562" operator="between">
      <formula>1</formula>
      <formula>10</formula>
    </cfRule>
    <cfRule type="cellIs" dxfId="1063" priority="563" operator="between">
      <formula>0.1</formula>
      <formula>1</formula>
    </cfRule>
    <cfRule type="cellIs" dxfId="1062" priority="564" operator="between">
      <formula>0.001</formula>
      <formula>0.01</formula>
    </cfRule>
    <cfRule type="cellIs" dxfId="1061" priority="565" operator="between">
      <formula>0</formula>
      <formula>0.001</formula>
    </cfRule>
    <cfRule type="cellIs" dxfId="1060" priority="566" operator="between">
      <formula>0.01</formula>
      <formula>0.1</formula>
    </cfRule>
  </conditionalFormatting>
  <conditionalFormatting sqref="N57:O57">
    <cfRule type="cellIs" dxfId="1059" priority="560" operator="equal">
      <formula>0</formula>
    </cfRule>
  </conditionalFormatting>
  <conditionalFormatting sqref="N57">
    <cfRule type="cellIs" dxfId="1058" priority="553" operator="between">
      <formula>0.00000000001</formula>
      <formula>0.0001</formula>
    </cfRule>
    <cfRule type="cellIs" dxfId="1057" priority="554" operator="greaterThanOrEqual">
      <formula>10</formula>
    </cfRule>
    <cfRule type="cellIs" dxfId="1056" priority="555" operator="between">
      <formula>1</formula>
      <formula>10</formula>
    </cfRule>
    <cfRule type="cellIs" dxfId="1055" priority="556" operator="between">
      <formula>0.1</formula>
      <formula>1</formula>
    </cfRule>
    <cfRule type="cellIs" dxfId="1054" priority="557" operator="between">
      <formula>0.001</formula>
      <formula>0.01</formula>
    </cfRule>
    <cfRule type="cellIs" dxfId="1053" priority="558" operator="between">
      <formula>0.0001</formula>
      <formula>0.001</formula>
    </cfRule>
    <cfRule type="cellIs" dxfId="1052" priority="559" operator="between">
      <formula>0.01</formula>
      <formula>0.1</formula>
    </cfRule>
  </conditionalFormatting>
  <conditionalFormatting sqref="Q50">
    <cfRule type="cellIs" dxfId="1051" priority="547" operator="greaterThanOrEqual">
      <formula>10</formula>
    </cfRule>
    <cfRule type="cellIs" dxfId="1050" priority="548" operator="between">
      <formula>1</formula>
      <formula>10</formula>
    </cfRule>
    <cfRule type="cellIs" dxfId="1049" priority="549" operator="between">
      <formula>0.1</formula>
      <formula>1</formula>
    </cfRule>
    <cfRule type="cellIs" dxfId="1048" priority="550" operator="between">
      <formula>0.001</formula>
      <formula>0.01</formula>
    </cfRule>
    <cfRule type="cellIs" dxfId="1047" priority="551" operator="between">
      <formula>0</formula>
      <formula>0.001</formula>
    </cfRule>
    <cfRule type="cellIs" dxfId="1046" priority="552" operator="between">
      <formula>0.01</formula>
      <formula>0.1</formula>
    </cfRule>
  </conditionalFormatting>
  <conditionalFormatting sqref="Q50:R50">
    <cfRule type="cellIs" dxfId="1045" priority="546" operator="equal">
      <formula>0</formula>
    </cfRule>
  </conditionalFormatting>
  <conditionalFormatting sqref="S50">
    <cfRule type="cellIs" dxfId="1044" priority="540" operator="greaterThanOrEqual">
      <formula>10</formula>
    </cfRule>
    <cfRule type="cellIs" dxfId="1043" priority="541" operator="between">
      <formula>1</formula>
      <formula>10</formula>
    </cfRule>
    <cfRule type="cellIs" dxfId="1042" priority="542" operator="between">
      <formula>0.1</formula>
      <formula>1</formula>
    </cfRule>
    <cfRule type="cellIs" dxfId="1041" priority="543" operator="between">
      <formula>0.001</formula>
      <formula>0.01</formula>
    </cfRule>
    <cfRule type="cellIs" dxfId="1040" priority="544" operator="between">
      <formula>0</formula>
      <formula>0.001</formula>
    </cfRule>
    <cfRule type="cellIs" dxfId="1039" priority="545" operator="between">
      <formula>0.01</formula>
      <formula>0.1</formula>
    </cfRule>
  </conditionalFormatting>
  <conditionalFormatting sqref="S50">
    <cfRule type="cellIs" dxfId="1038" priority="539" operator="equal">
      <formula>0</formula>
    </cfRule>
  </conditionalFormatting>
  <conditionalFormatting sqref="Q50">
    <cfRule type="cellIs" dxfId="1037" priority="533" operator="greaterThanOrEqual">
      <formula>10</formula>
    </cfRule>
    <cfRule type="cellIs" dxfId="1036" priority="534" operator="between">
      <formula>1</formula>
      <formula>10</formula>
    </cfRule>
    <cfRule type="cellIs" dxfId="1035" priority="535" operator="between">
      <formula>0.1</formula>
      <formula>1</formula>
    </cfRule>
    <cfRule type="cellIs" dxfId="1034" priority="536" operator="between">
      <formula>0.001</formula>
      <formula>0.01</formula>
    </cfRule>
    <cfRule type="cellIs" dxfId="1033" priority="537" operator="between">
      <formula>0</formula>
      <formula>0.001</formula>
    </cfRule>
    <cfRule type="cellIs" dxfId="1032" priority="538" operator="between">
      <formula>0.01</formula>
      <formula>0.1</formula>
    </cfRule>
  </conditionalFormatting>
  <conditionalFormatting sqref="S50">
    <cfRule type="cellIs" dxfId="1031" priority="527" operator="greaterThanOrEqual">
      <formula>10</formula>
    </cfRule>
    <cfRule type="cellIs" dxfId="1030" priority="528" operator="between">
      <formula>1</formula>
      <formula>10</formula>
    </cfRule>
    <cfRule type="cellIs" dxfId="1029" priority="529" operator="between">
      <formula>0.1</formula>
      <formula>1</formula>
    </cfRule>
    <cfRule type="cellIs" dxfId="1028" priority="530" operator="between">
      <formula>0.001</formula>
      <formula>0.01</formula>
    </cfRule>
    <cfRule type="cellIs" dxfId="1027" priority="531" operator="between">
      <formula>0</formula>
      <formula>0.001</formula>
    </cfRule>
    <cfRule type="cellIs" dxfId="1026" priority="532" operator="between">
      <formula>0.01</formula>
      <formula>0.1</formula>
    </cfRule>
  </conditionalFormatting>
  <conditionalFormatting sqref="S50">
    <cfRule type="cellIs" dxfId="1025" priority="526" operator="equal">
      <formula>0</formula>
    </cfRule>
  </conditionalFormatting>
  <conditionalFormatting sqref="Q50:R50">
    <cfRule type="cellIs" dxfId="1024" priority="525" operator="equal">
      <formula>0</formula>
    </cfRule>
  </conditionalFormatting>
  <conditionalFormatting sqref="Q50">
    <cfRule type="cellIs" dxfId="1023" priority="518" operator="between">
      <formula>0.00000000001</formula>
      <formula>0.0001</formula>
    </cfRule>
    <cfRule type="cellIs" dxfId="1022" priority="519" operator="greaterThanOrEqual">
      <formula>10</formula>
    </cfRule>
    <cfRule type="cellIs" dxfId="1021" priority="520" operator="between">
      <formula>1</formula>
      <formula>10</formula>
    </cfRule>
    <cfRule type="cellIs" dxfId="1020" priority="521" operator="between">
      <formula>0.1</formula>
      <formula>1</formula>
    </cfRule>
    <cfRule type="cellIs" dxfId="1019" priority="522" operator="between">
      <formula>0.001</formula>
      <formula>0.01</formula>
    </cfRule>
    <cfRule type="cellIs" dxfId="1018" priority="523" operator="between">
      <formula>0.0001</formula>
      <formula>0.001</formula>
    </cfRule>
    <cfRule type="cellIs" dxfId="1017" priority="524" operator="between">
      <formula>0.01</formula>
      <formula>0.1</formula>
    </cfRule>
  </conditionalFormatting>
  <conditionalFormatting sqref="S50">
    <cfRule type="cellIs" dxfId="1016" priority="512" operator="greaterThanOrEqual">
      <formula>10</formula>
    </cfRule>
    <cfRule type="cellIs" dxfId="1015" priority="513" operator="between">
      <formula>1</formula>
      <formula>10</formula>
    </cfRule>
    <cfRule type="cellIs" dxfId="1014" priority="514" operator="between">
      <formula>0.1</formula>
      <formula>1</formula>
    </cfRule>
    <cfRule type="cellIs" dxfId="1013" priority="515" operator="between">
      <formula>0.001</formula>
      <formula>0.01</formula>
    </cfRule>
    <cfRule type="cellIs" dxfId="1012" priority="516" operator="between">
      <formula>0</formula>
      <formula>0.001</formula>
    </cfRule>
    <cfRule type="cellIs" dxfId="1011" priority="517" operator="between">
      <formula>0.01</formula>
      <formula>0.1</formula>
    </cfRule>
  </conditionalFormatting>
  <conditionalFormatting sqref="S50">
    <cfRule type="cellIs" dxfId="1010" priority="506" operator="greaterThanOrEqual">
      <formula>10</formula>
    </cfRule>
    <cfRule type="cellIs" dxfId="1009" priority="507" operator="between">
      <formula>1</formula>
      <formula>10</formula>
    </cfRule>
    <cfRule type="cellIs" dxfId="1008" priority="508" operator="between">
      <formula>0.1</formula>
      <formula>1</formula>
    </cfRule>
    <cfRule type="cellIs" dxfId="1007" priority="509" operator="between">
      <formula>0.001</formula>
      <formula>0.01</formula>
    </cfRule>
    <cfRule type="cellIs" dxfId="1006" priority="510" operator="between">
      <formula>0</formula>
      <formula>0.001</formula>
    </cfRule>
    <cfRule type="cellIs" dxfId="1005" priority="511" operator="between">
      <formula>0.01</formula>
      <formula>0.1</formula>
    </cfRule>
  </conditionalFormatting>
  <conditionalFormatting sqref="S50">
    <cfRule type="cellIs" dxfId="1004" priority="500" operator="greaterThanOrEqual">
      <formula>10</formula>
    </cfRule>
    <cfRule type="cellIs" dxfId="1003" priority="501" operator="between">
      <formula>1</formula>
      <formula>10</formula>
    </cfRule>
    <cfRule type="cellIs" dxfId="1002" priority="502" operator="between">
      <formula>0.1</formula>
      <formula>1</formula>
    </cfRule>
    <cfRule type="cellIs" dxfId="1001" priority="503" operator="between">
      <formula>0.001</formula>
      <formula>0.01</formula>
    </cfRule>
    <cfRule type="cellIs" dxfId="1000" priority="504" operator="between">
      <formula>0</formula>
      <formula>0.001</formula>
    </cfRule>
    <cfRule type="cellIs" dxfId="999" priority="505" operator="between">
      <formula>0.01</formula>
      <formula>0.1</formula>
    </cfRule>
  </conditionalFormatting>
  <conditionalFormatting sqref="S50">
    <cfRule type="cellIs" dxfId="998" priority="494" operator="greaterThanOrEqual">
      <formula>10</formula>
    </cfRule>
    <cfRule type="cellIs" dxfId="997" priority="495" operator="between">
      <formula>1</formula>
      <formula>10</formula>
    </cfRule>
    <cfRule type="cellIs" dxfId="996" priority="496" operator="between">
      <formula>0.1</formula>
      <formula>1</formula>
    </cfRule>
    <cfRule type="cellIs" dxfId="995" priority="497" operator="between">
      <formula>0.001</formula>
      <formula>0.01</formula>
    </cfRule>
    <cfRule type="cellIs" dxfId="994" priority="498" operator="between">
      <formula>0</formula>
      <formula>0.001</formula>
    </cfRule>
    <cfRule type="cellIs" dxfId="993" priority="499" operator="between">
      <formula>0.01</formula>
      <formula>0.1</formula>
    </cfRule>
  </conditionalFormatting>
  <conditionalFormatting sqref="S50">
    <cfRule type="cellIs" dxfId="992" priority="488" operator="greaterThanOrEqual">
      <formula>10</formula>
    </cfRule>
    <cfRule type="cellIs" dxfId="991" priority="489" operator="between">
      <formula>1</formula>
      <formula>10</formula>
    </cfRule>
    <cfRule type="cellIs" dxfId="990" priority="490" operator="between">
      <formula>0.1</formula>
      <formula>1</formula>
    </cfRule>
    <cfRule type="cellIs" dxfId="989" priority="491" operator="between">
      <formula>0.001</formula>
      <formula>0.01</formula>
    </cfRule>
    <cfRule type="cellIs" dxfId="988" priority="492" operator="between">
      <formula>0</formula>
      <formula>0.001</formula>
    </cfRule>
    <cfRule type="cellIs" dxfId="987" priority="493" operator="between">
      <formula>0.01</formula>
      <formula>0.1</formula>
    </cfRule>
  </conditionalFormatting>
  <conditionalFormatting sqref="S50">
    <cfRule type="cellIs" dxfId="986" priority="482" operator="greaterThanOrEqual">
      <formula>10</formula>
    </cfRule>
    <cfRule type="cellIs" dxfId="985" priority="483" operator="between">
      <formula>1</formula>
      <formula>10</formula>
    </cfRule>
    <cfRule type="cellIs" dxfId="984" priority="484" operator="between">
      <formula>0.1</formula>
      <formula>1</formula>
    </cfRule>
    <cfRule type="cellIs" dxfId="983" priority="485" operator="between">
      <formula>0.001</formula>
      <formula>0.01</formula>
    </cfRule>
    <cfRule type="cellIs" dxfId="982" priority="486" operator="between">
      <formula>0</formula>
      <formula>0.001</formula>
    </cfRule>
    <cfRule type="cellIs" dxfId="981" priority="487" operator="between">
      <formula>0.01</formula>
      <formula>0.1</formula>
    </cfRule>
  </conditionalFormatting>
  <conditionalFormatting sqref="S50">
    <cfRule type="cellIs" dxfId="980" priority="475" operator="between">
      <formula>0.00000000001</formula>
      <formula>0.0001</formula>
    </cfRule>
    <cfRule type="cellIs" dxfId="979" priority="476" operator="greaterThanOrEqual">
      <formula>10</formula>
    </cfRule>
    <cfRule type="cellIs" dxfId="978" priority="477" operator="between">
      <formula>1</formula>
      <formula>10</formula>
    </cfRule>
    <cfRule type="cellIs" dxfId="977" priority="478" operator="between">
      <formula>0.1</formula>
      <formula>1</formula>
    </cfRule>
    <cfRule type="cellIs" dxfId="976" priority="479" operator="between">
      <formula>0.001</formula>
      <formula>0.01</formula>
    </cfRule>
    <cfRule type="cellIs" dxfId="975" priority="480" operator="between">
      <formula>0.0001</formula>
      <formula>0.001</formula>
    </cfRule>
    <cfRule type="cellIs" dxfId="974" priority="481" operator="between">
      <formula>0.01</formula>
      <formula>0.1</formula>
    </cfRule>
  </conditionalFormatting>
  <conditionalFormatting sqref="Q48">
    <cfRule type="cellIs" dxfId="973" priority="469" operator="greaterThanOrEqual">
      <formula>10</formula>
    </cfRule>
    <cfRule type="cellIs" dxfId="972" priority="470" operator="between">
      <formula>1</formula>
      <formula>10</formula>
    </cfRule>
    <cfRule type="cellIs" dxfId="971" priority="471" operator="between">
      <formula>0.1</formula>
      <formula>1</formula>
    </cfRule>
    <cfRule type="cellIs" dxfId="970" priority="472" operator="between">
      <formula>0.001</formula>
      <formula>0.01</formula>
    </cfRule>
    <cfRule type="cellIs" dxfId="969" priority="473" operator="between">
      <formula>0</formula>
      <formula>0.001</formula>
    </cfRule>
    <cfRule type="cellIs" dxfId="968" priority="474" operator="between">
      <formula>0.01</formula>
      <formula>0.1</formula>
    </cfRule>
  </conditionalFormatting>
  <conditionalFormatting sqref="Q48:R48">
    <cfRule type="cellIs" dxfId="967" priority="468" operator="equal">
      <formula>0</formula>
    </cfRule>
  </conditionalFormatting>
  <conditionalFormatting sqref="S48">
    <cfRule type="cellIs" dxfId="966" priority="462" operator="greaterThanOrEqual">
      <formula>10</formula>
    </cfRule>
    <cfRule type="cellIs" dxfId="965" priority="463" operator="between">
      <formula>1</formula>
      <formula>10</formula>
    </cfRule>
    <cfRule type="cellIs" dxfId="964" priority="464" operator="between">
      <formula>0.1</formula>
      <formula>1</formula>
    </cfRule>
    <cfRule type="cellIs" dxfId="963" priority="465" operator="between">
      <formula>0.001</formula>
      <formula>0.01</formula>
    </cfRule>
    <cfRule type="cellIs" dxfId="962" priority="466" operator="between">
      <formula>0</formula>
      <formula>0.001</formula>
    </cfRule>
    <cfRule type="cellIs" dxfId="961" priority="467" operator="between">
      <formula>0.01</formula>
      <formula>0.1</formula>
    </cfRule>
  </conditionalFormatting>
  <conditionalFormatting sqref="S48">
    <cfRule type="cellIs" dxfId="960" priority="461" operator="equal">
      <formula>0</formula>
    </cfRule>
  </conditionalFormatting>
  <conditionalFormatting sqref="Q48">
    <cfRule type="cellIs" dxfId="959" priority="455" operator="greaterThanOrEqual">
      <formula>10</formula>
    </cfRule>
    <cfRule type="cellIs" dxfId="958" priority="456" operator="between">
      <formula>1</formula>
      <formula>10</formula>
    </cfRule>
    <cfRule type="cellIs" dxfId="957" priority="457" operator="between">
      <formula>0.1</formula>
      <formula>1</formula>
    </cfRule>
    <cfRule type="cellIs" dxfId="956" priority="458" operator="between">
      <formula>0.001</formula>
      <formula>0.01</formula>
    </cfRule>
    <cfRule type="cellIs" dxfId="955" priority="459" operator="between">
      <formula>0</formula>
      <formula>0.001</formula>
    </cfRule>
    <cfRule type="cellIs" dxfId="954" priority="460" operator="between">
      <formula>0.01</formula>
      <formula>0.1</formula>
    </cfRule>
  </conditionalFormatting>
  <conditionalFormatting sqref="Q48:R48">
    <cfRule type="cellIs" dxfId="953" priority="454" operator="equal">
      <formula>0</formula>
    </cfRule>
  </conditionalFormatting>
  <conditionalFormatting sqref="S48">
    <cfRule type="cellIs" dxfId="952" priority="448" operator="greaterThanOrEqual">
      <formula>10</formula>
    </cfRule>
    <cfRule type="cellIs" dxfId="951" priority="449" operator="between">
      <formula>1</formula>
      <formula>10</formula>
    </cfRule>
    <cfRule type="cellIs" dxfId="950" priority="450" operator="between">
      <formula>0.1</formula>
      <formula>1</formula>
    </cfRule>
    <cfRule type="cellIs" dxfId="949" priority="451" operator="between">
      <formula>0.001</formula>
      <formula>0.01</formula>
    </cfRule>
    <cfRule type="cellIs" dxfId="948" priority="452" operator="between">
      <formula>0</formula>
      <formula>0.001</formula>
    </cfRule>
    <cfRule type="cellIs" dxfId="947" priority="453" operator="between">
      <formula>0.01</formula>
      <formula>0.1</formula>
    </cfRule>
  </conditionalFormatting>
  <conditionalFormatting sqref="S48">
    <cfRule type="cellIs" dxfId="946" priority="447" operator="equal">
      <formula>0</formula>
    </cfRule>
  </conditionalFormatting>
  <conditionalFormatting sqref="S48">
    <cfRule type="cellIs" dxfId="945" priority="441" operator="greaterThanOrEqual">
      <formula>10</formula>
    </cfRule>
    <cfRule type="cellIs" dxfId="944" priority="442" operator="between">
      <formula>1</formula>
      <formula>10</formula>
    </cfRule>
    <cfRule type="cellIs" dxfId="943" priority="443" operator="between">
      <formula>0.1</formula>
      <formula>1</formula>
    </cfRule>
    <cfRule type="cellIs" dxfId="942" priority="444" operator="between">
      <formula>0.001</formula>
      <formula>0.01</formula>
    </cfRule>
    <cfRule type="cellIs" dxfId="941" priority="445" operator="between">
      <formula>0</formula>
      <formula>0.001</formula>
    </cfRule>
    <cfRule type="cellIs" dxfId="940" priority="446" operator="between">
      <formula>0.01</formula>
      <formula>0.1</formula>
    </cfRule>
  </conditionalFormatting>
  <conditionalFormatting sqref="S48">
    <cfRule type="cellIs" dxfId="939" priority="435" operator="greaterThanOrEqual">
      <formula>10</formula>
    </cfRule>
    <cfRule type="cellIs" dxfId="938" priority="436" operator="between">
      <formula>1</formula>
      <formula>10</formula>
    </cfRule>
    <cfRule type="cellIs" dxfId="937" priority="437" operator="between">
      <formula>0.1</formula>
      <formula>1</formula>
    </cfRule>
    <cfRule type="cellIs" dxfId="936" priority="438" operator="between">
      <formula>0.001</formula>
      <formula>0.01</formula>
    </cfRule>
    <cfRule type="cellIs" dxfId="935" priority="439" operator="between">
      <formula>0</formula>
      <formula>0.001</formula>
    </cfRule>
    <cfRule type="cellIs" dxfId="934" priority="440" operator="between">
      <formula>0.01</formula>
      <formula>0.1</formula>
    </cfRule>
  </conditionalFormatting>
  <conditionalFormatting sqref="S48">
    <cfRule type="cellIs" dxfId="933" priority="429" operator="greaterThanOrEqual">
      <formula>10</formula>
    </cfRule>
    <cfRule type="cellIs" dxfId="932" priority="430" operator="between">
      <formula>1</formula>
      <formula>10</formula>
    </cfRule>
    <cfRule type="cellIs" dxfId="931" priority="431" operator="between">
      <formula>0.1</formula>
      <formula>1</formula>
    </cfRule>
    <cfRule type="cellIs" dxfId="930" priority="432" operator="between">
      <formula>0.001</formula>
      <formula>0.01</formula>
    </cfRule>
    <cfRule type="cellIs" dxfId="929" priority="433" operator="between">
      <formula>0</formula>
      <formula>0.001</formula>
    </cfRule>
    <cfRule type="cellIs" dxfId="928" priority="434" operator="between">
      <formula>0.01</formula>
      <formula>0.1</formula>
    </cfRule>
  </conditionalFormatting>
  <conditionalFormatting sqref="S48">
    <cfRule type="cellIs" dxfId="927" priority="423" operator="greaterThanOrEqual">
      <formula>10</formula>
    </cfRule>
    <cfRule type="cellIs" dxfId="926" priority="424" operator="between">
      <formula>1</formula>
      <formula>10</formula>
    </cfRule>
    <cfRule type="cellIs" dxfId="925" priority="425" operator="between">
      <formula>0.1</formula>
      <formula>1</formula>
    </cfRule>
    <cfRule type="cellIs" dxfId="924" priority="426" operator="between">
      <formula>0.001</formula>
      <formula>0.01</formula>
    </cfRule>
    <cfRule type="cellIs" dxfId="923" priority="427" operator="between">
      <formula>0</formula>
      <formula>0.001</formula>
    </cfRule>
    <cfRule type="cellIs" dxfId="922" priority="428" operator="between">
      <formula>0.01</formula>
      <formula>0.1</formula>
    </cfRule>
  </conditionalFormatting>
  <conditionalFormatting sqref="S48">
    <cfRule type="cellIs" dxfId="921" priority="417" operator="greaterThanOrEqual">
      <formula>10</formula>
    </cfRule>
    <cfRule type="cellIs" dxfId="920" priority="418" operator="between">
      <formula>1</formula>
      <formula>10</formula>
    </cfRule>
    <cfRule type="cellIs" dxfId="919" priority="419" operator="between">
      <formula>0.1</formula>
      <formula>1</formula>
    </cfRule>
    <cfRule type="cellIs" dxfId="918" priority="420" operator="between">
      <formula>0.001</formula>
      <formula>0.01</formula>
    </cfRule>
    <cfRule type="cellIs" dxfId="917" priority="421" operator="between">
      <formula>0</formula>
      <formula>0.001</formula>
    </cfRule>
    <cfRule type="cellIs" dxfId="916" priority="422" operator="between">
      <formula>0.01</formula>
      <formula>0.1</formula>
    </cfRule>
  </conditionalFormatting>
  <conditionalFormatting sqref="Q48">
    <cfRule type="cellIs" dxfId="915" priority="410" operator="between">
      <formula>0.00000000001</formula>
      <formula>0.0001</formula>
    </cfRule>
    <cfRule type="cellIs" dxfId="914" priority="411" operator="greaterThanOrEqual">
      <formula>10</formula>
    </cfRule>
    <cfRule type="cellIs" dxfId="913" priority="412" operator="between">
      <formula>1</formula>
      <formula>10</formula>
    </cfRule>
    <cfRule type="cellIs" dxfId="912" priority="413" operator="between">
      <formula>0.1</formula>
      <formula>1</formula>
    </cfRule>
    <cfRule type="cellIs" dxfId="911" priority="414" operator="between">
      <formula>0.001</formula>
      <formula>0.01</formula>
    </cfRule>
    <cfRule type="cellIs" dxfId="910" priority="415" operator="between">
      <formula>0.0001</formula>
      <formula>0.001</formula>
    </cfRule>
    <cfRule type="cellIs" dxfId="909" priority="416" operator="between">
      <formula>0.01</formula>
      <formula>0.1</formula>
    </cfRule>
  </conditionalFormatting>
  <conditionalFormatting sqref="S48">
    <cfRule type="cellIs" dxfId="908" priority="404" operator="greaterThanOrEqual">
      <formula>10</formula>
    </cfRule>
    <cfRule type="cellIs" dxfId="907" priority="405" operator="between">
      <formula>1</formula>
      <formula>10</formula>
    </cfRule>
    <cfRule type="cellIs" dxfId="906" priority="406" operator="between">
      <formula>0.1</formula>
      <formula>1</formula>
    </cfRule>
    <cfRule type="cellIs" dxfId="905" priority="407" operator="between">
      <formula>0.001</formula>
      <formula>0.01</formula>
    </cfRule>
    <cfRule type="cellIs" dxfId="904" priority="408" operator="between">
      <formula>0</formula>
      <formula>0.001</formula>
    </cfRule>
    <cfRule type="cellIs" dxfId="903" priority="409" operator="between">
      <formula>0.01</formula>
      <formula>0.1</formula>
    </cfRule>
  </conditionalFormatting>
  <conditionalFormatting sqref="S48">
    <cfRule type="cellIs" dxfId="902" priority="397" operator="between">
      <formula>0.00000000001</formula>
      <formula>0.0001</formula>
    </cfRule>
    <cfRule type="cellIs" dxfId="901" priority="398" operator="greaterThanOrEqual">
      <formula>10</formula>
    </cfRule>
    <cfRule type="cellIs" dxfId="900" priority="399" operator="between">
      <formula>1</formula>
      <formula>10</formula>
    </cfRule>
    <cfRule type="cellIs" dxfId="899" priority="400" operator="between">
      <formula>0.1</formula>
      <formula>1</formula>
    </cfRule>
    <cfRule type="cellIs" dxfId="898" priority="401" operator="between">
      <formula>0.001</formula>
      <formula>0.01</formula>
    </cfRule>
    <cfRule type="cellIs" dxfId="897" priority="402" operator="between">
      <formula>0.0001</formula>
      <formula>0.001</formula>
    </cfRule>
    <cfRule type="cellIs" dxfId="896" priority="403" operator="between">
      <formula>0.01</formula>
      <formula>0.1</formula>
    </cfRule>
  </conditionalFormatting>
  <conditionalFormatting sqref="I50">
    <cfRule type="cellIs" dxfId="895" priority="391" operator="greaterThanOrEqual">
      <formula>10</formula>
    </cfRule>
    <cfRule type="cellIs" dxfId="894" priority="392" operator="between">
      <formula>1</formula>
      <formula>10</formula>
    </cfRule>
    <cfRule type="cellIs" dxfId="893" priority="393" operator="between">
      <formula>0.1</formula>
      <formula>1</formula>
    </cfRule>
    <cfRule type="cellIs" dxfId="892" priority="394" operator="between">
      <formula>0.001</formula>
      <formula>0.01</formula>
    </cfRule>
    <cfRule type="cellIs" dxfId="891" priority="395" operator="between">
      <formula>0</formula>
      <formula>0.001</formula>
    </cfRule>
    <cfRule type="cellIs" dxfId="890" priority="396" operator="between">
      <formula>0.01</formula>
      <formula>0.1</formula>
    </cfRule>
  </conditionalFormatting>
  <conditionalFormatting sqref="I50">
    <cfRule type="cellIs" dxfId="889" priority="385" operator="greaterThanOrEqual">
      <formula>10</formula>
    </cfRule>
    <cfRule type="cellIs" dxfId="888" priority="386" operator="between">
      <formula>1</formula>
      <formula>10</formula>
    </cfRule>
    <cfRule type="cellIs" dxfId="887" priority="387" operator="between">
      <formula>0.1</formula>
      <formula>1</formula>
    </cfRule>
    <cfRule type="cellIs" dxfId="886" priority="388" operator="between">
      <formula>0.001</formula>
      <formula>0.01</formula>
    </cfRule>
    <cfRule type="cellIs" dxfId="885" priority="389" operator="between">
      <formula>0</formula>
      <formula>0.001</formula>
    </cfRule>
    <cfRule type="cellIs" dxfId="884" priority="390" operator="between">
      <formula>0.01</formula>
      <formula>0.1</formula>
    </cfRule>
  </conditionalFormatting>
  <conditionalFormatting sqref="I50">
    <cfRule type="cellIs" dxfId="883" priority="379" operator="greaterThanOrEqual">
      <formula>10</formula>
    </cfRule>
    <cfRule type="cellIs" dxfId="882" priority="380" operator="between">
      <formula>1</formula>
      <formula>10</formula>
    </cfRule>
    <cfRule type="cellIs" dxfId="881" priority="381" operator="between">
      <formula>0.1</formula>
      <formula>1</formula>
    </cfRule>
    <cfRule type="cellIs" dxfId="880" priority="382" operator="between">
      <formula>0.001</formula>
      <formula>0.01</formula>
    </cfRule>
    <cfRule type="cellIs" dxfId="879" priority="383" operator="between">
      <formula>0</formula>
      <formula>0.001</formula>
    </cfRule>
    <cfRule type="cellIs" dxfId="878" priority="384" operator="between">
      <formula>0.01</formula>
      <formula>0.1</formula>
    </cfRule>
  </conditionalFormatting>
  <conditionalFormatting sqref="I50">
    <cfRule type="cellIs" dxfId="877" priority="373" operator="greaterThanOrEqual">
      <formula>10</formula>
    </cfRule>
    <cfRule type="cellIs" dxfId="876" priority="374" operator="between">
      <formula>1</formula>
      <formula>10</formula>
    </cfRule>
    <cfRule type="cellIs" dxfId="875" priority="375" operator="between">
      <formula>0.1</formula>
      <formula>1</formula>
    </cfRule>
    <cfRule type="cellIs" dxfId="874" priority="376" operator="between">
      <formula>0.001</formula>
      <formula>0.01</formula>
    </cfRule>
    <cfRule type="cellIs" dxfId="873" priority="377" operator="between">
      <formula>0</formula>
      <formula>0.001</formula>
    </cfRule>
    <cfRule type="cellIs" dxfId="872" priority="378" operator="between">
      <formula>0.01</formula>
      <formula>0.1</formula>
    </cfRule>
  </conditionalFormatting>
  <conditionalFormatting sqref="I50">
    <cfRule type="cellIs" dxfId="871" priority="367" operator="greaterThanOrEqual">
      <formula>10</formula>
    </cfRule>
    <cfRule type="cellIs" dxfId="870" priority="368" operator="between">
      <formula>1</formula>
      <formula>10</formula>
    </cfRule>
    <cfRule type="cellIs" dxfId="869" priority="369" operator="between">
      <formula>0.1</formula>
      <formula>1</formula>
    </cfRule>
    <cfRule type="cellIs" dxfId="868" priority="370" operator="between">
      <formula>0.001</formula>
      <formula>0.01</formula>
    </cfRule>
    <cfRule type="cellIs" dxfId="867" priority="371" operator="between">
      <formula>0</formula>
      <formula>0.001</formula>
    </cfRule>
    <cfRule type="cellIs" dxfId="866" priority="372" operator="between">
      <formula>0.01</formula>
      <formula>0.1</formula>
    </cfRule>
  </conditionalFormatting>
  <conditionalFormatting sqref="I50">
    <cfRule type="cellIs" dxfId="865" priority="361" operator="greaterThanOrEqual">
      <formula>10</formula>
    </cfRule>
    <cfRule type="cellIs" dxfId="864" priority="362" operator="between">
      <formula>1</formula>
      <formula>10</formula>
    </cfRule>
    <cfRule type="cellIs" dxfId="863" priority="363" operator="between">
      <formula>0.1</formula>
      <formula>1</formula>
    </cfRule>
    <cfRule type="cellIs" dxfId="862" priority="364" operator="between">
      <formula>0.001</formula>
      <formula>0.01</formula>
    </cfRule>
    <cfRule type="cellIs" dxfId="861" priority="365" operator="between">
      <formula>0</formula>
      <formula>0.001</formula>
    </cfRule>
    <cfRule type="cellIs" dxfId="860" priority="366" operator="between">
      <formula>0.01</formula>
      <formula>0.1</formula>
    </cfRule>
  </conditionalFormatting>
  <conditionalFormatting sqref="I50">
    <cfRule type="cellIs" dxfId="859" priority="354" operator="between">
      <formula>0.00000000001</formula>
      <formula>0.0001</formula>
    </cfRule>
    <cfRule type="cellIs" dxfId="858" priority="355" operator="greaterThanOrEqual">
      <formula>10</formula>
    </cfRule>
    <cfRule type="cellIs" dxfId="857" priority="356" operator="between">
      <formula>1</formula>
      <formula>10</formula>
    </cfRule>
    <cfRule type="cellIs" dxfId="856" priority="357" operator="between">
      <formula>0.1</formula>
      <formula>1</formula>
    </cfRule>
    <cfRule type="cellIs" dxfId="855" priority="358" operator="between">
      <formula>0.001</formula>
      <formula>0.01</formula>
    </cfRule>
    <cfRule type="cellIs" dxfId="854" priority="359" operator="between">
      <formula>0.0001</formula>
      <formula>0.001</formula>
    </cfRule>
    <cfRule type="cellIs" dxfId="853" priority="360" operator="between">
      <formula>0.01</formula>
      <formula>0.1</formula>
    </cfRule>
  </conditionalFormatting>
  <conditionalFormatting sqref="I50">
    <cfRule type="cellIs" dxfId="852" priority="348" operator="greaterThanOrEqual">
      <formula>10</formula>
    </cfRule>
    <cfRule type="cellIs" dxfId="851" priority="349" operator="between">
      <formula>1</formula>
      <formula>10</formula>
    </cfRule>
    <cfRule type="cellIs" dxfId="850" priority="350" operator="between">
      <formula>0.1</formula>
      <formula>1</formula>
    </cfRule>
    <cfRule type="cellIs" dxfId="849" priority="351" operator="between">
      <formula>0.001</formula>
      <formula>0.01</formula>
    </cfRule>
    <cfRule type="cellIs" dxfId="848" priority="352" operator="between">
      <formula>0</formula>
      <formula>0.001</formula>
    </cfRule>
    <cfRule type="cellIs" dxfId="847" priority="353" operator="between">
      <formula>0.01</formula>
      <formula>0.1</formula>
    </cfRule>
  </conditionalFormatting>
  <conditionalFormatting sqref="I50">
    <cfRule type="cellIs" dxfId="846" priority="342" operator="greaterThanOrEqual">
      <formula>10</formula>
    </cfRule>
    <cfRule type="cellIs" dxfId="845" priority="343" operator="between">
      <formula>1</formula>
      <formula>10</formula>
    </cfRule>
    <cfRule type="cellIs" dxfId="844" priority="344" operator="between">
      <formula>0.1</formula>
      <formula>1</formula>
    </cfRule>
    <cfRule type="cellIs" dxfId="843" priority="345" operator="between">
      <formula>0.001</formula>
      <formula>0.01</formula>
    </cfRule>
    <cfRule type="cellIs" dxfId="842" priority="346" operator="between">
      <formula>0</formula>
      <formula>0.001</formula>
    </cfRule>
    <cfRule type="cellIs" dxfId="841" priority="347" operator="between">
      <formula>0.01</formula>
      <formula>0.1</formula>
    </cfRule>
  </conditionalFormatting>
  <conditionalFormatting sqref="I50">
    <cfRule type="cellIs" dxfId="840" priority="336" operator="greaterThanOrEqual">
      <formula>10</formula>
    </cfRule>
    <cfRule type="cellIs" dxfId="839" priority="337" operator="between">
      <formula>1</formula>
      <formula>10</formula>
    </cfRule>
    <cfRule type="cellIs" dxfId="838" priority="338" operator="between">
      <formula>0.1</formula>
      <formula>1</formula>
    </cfRule>
    <cfRule type="cellIs" dxfId="837" priority="339" operator="between">
      <formula>0.001</formula>
      <formula>0.01</formula>
    </cfRule>
    <cfRule type="cellIs" dxfId="836" priority="340" operator="between">
      <formula>0</formula>
      <formula>0.001</formula>
    </cfRule>
    <cfRule type="cellIs" dxfId="835" priority="341" operator="between">
      <formula>0.01</formula>
      <formula>0.1</formula>
    </cfRule>
  </conditionalFormatting>
  <conditionalFormatting sqref="I50">
    <cfRule type="cellIs" dxfId="834" priority="330" operator="greaterThanOrEqual">
      <formula>10</formula>
    </cfRule>
    <cfRule type="cellIs" dxfId="833" priority="331" operator="between">
      <formula>1</formula>
      <formula>10</formula>
    </cfRule>
    <cfRule type="cellIs" dxfId="832" priority="332" operator="between">
      <formula>0.1</formula>
      <formula>1</formula>
    </cfRule>
    <cfRule type="cellIs" dxfId="831" priority="333" operator="between">
      <formula>0.001</formula>
      <formula>0.01</formula>
    </cfRule>
    <cfRule type="cellIs" dxfId="830" priority="334" operator="between">
      <formula>0</formula>
      <formula>0.001</formula>
    </cfRule>
    <cfRule type="cellIs" dxfId="829" priority="335" operator="between">
      <formula>0.01</formula>
      <formula>0.1</formula>
    </cfRule>
  </conditionalFormatting>
  <conditionalFormatting sqref="I50">
    <cfRule type="cellIs" dxfId="828" priority="324" operator="greaterThanOrEqual">
      <formula>10</formula>
    </cfRule>
    <cfRule type="cellIs" dxfId="827" priority="325" operator="between">
      <formula>1</formula>
      <formula>10</formula>
    </cfRule>
    <cfRule type="cellIs" dxfId="826" priority="326" operator="between">
      <formula>0.1</formula>
      <formula>1</formula>
    </cfRule>
    <cfRule type="cellIs" dxfId="825" priority="327" operator="between">
      <formula>0.001</formula>
      <formula>0.01</formula>
    </cfRule>
    <cfRule type="cellIs" dxfId="824" priority="328" operator="between">
      <formula>0</formula>
      <formula>0.001</formula>
    </cfRule>
    <cfRule type="cellIs" dxfId="823" priority="329" operator="between">
      <formula>0.01</formula>
      <formula>0.1</formula>
    </cfRule>
  </conditionalFormatting>
  <conditionalFormatting sqref="I50">
    <cfRule type="cellIs" dxfId="822" priority="318" operator="greaterThanOrEqual">
      <formula>10</formula>
    </cfRule>
    <cfRule type="cellIs" dxfId="821" priority="319" operator="between">
      <formula>1</formula>
      <formula>10</formula>
    </cfRule>
    <cfRule type="cellIs" dxfId="820" priority="320" operator="between">
      <formula>0.1</formula>
      <formula>1</formula>
    </cfRule>
    <cfRule type="cellIs" dxfId="819" priority="321" operator="between">
      <formula>0.001</formula>
      <formula>0.01</formula>
    </cfRule>
    <cfRule type="cellIs" dxfId="818" priority="322" operator="between">
      <formula>0</formula>
      <formula>0.001</formula>
    </cfRule>
    <cfRule type="cellIs" dxfId="817" priority="323" operator="between">
      <formula>0.01</formula>
      <formula>0.1</formula>
    </cfRule>
  </conditionalFormatting>
  <conditionalFormatting sqref="I50">
    <cfRule type="cellIs" dxfId="816" priority="311" operator="between">
      <formula>0.00000000001</formula>
      <formula>0.0001</formula>
    </cfRule>
    <cfRule type="cellIs" dxfId="815" priority="312" operator="greaterThanOrEqual">
      <formula>10</formula>
    </cfRule>
    <cfRule type="cellIs" dxfId="814" priority="313" operator="between">
      <formula>1</formula>
      <formula>10</formula>
    </cfRule>
    <cfRule type="cellIs" dxfId="813" priority="314" operator="between">
      <formula>0.1</formula>
      <formula>1</formula>
    </cfRule>
    <cfRule type="cellIs" dxfId="812" priority="315" operator="between">
      <formula>0.001</formula>
      <formula>0.01</formula>
    </cfRule>
    <cfRule type="cellIs" dxfId="811" priority="316" operator="between">
      <formula>0.0001</formula>
      <formula>0.001</formula>
    </cfRule>
    <cfRule type="cellIs" dxfId="810" priority="317" operator="between">
      <formula>0.01</formula>
      <formula>0.1</formula>
    </cfRule>
  </conditionalFormatting>
  <conditionalFormatting sqref="G72:J72">
    <cfRule type="cellIs" dxfId="809" priority="310" operator="equal">
      <formula>0</formula>
    </cfRule>
  </conditionalFormatting>
  <conditionalFormatting sqref="G72">
    <cfRule type="cellIs" dxfId="808" priority="304" operator="greaterThanOrEqual">
      <formula>10</formula>
    </cfRule>
    <cfRule type="cellIs" dxfId="807" priority="305" operator="between">
      <formula>1</formula>
      <formula>10</formula>
    </cfRule>
    <cfRule type="cellIs" dxfId="806" priority="306" operator="between">
      <formula>0.1</formula>
      <formula>1</formula>
    </cfRule>
    <cfRule type="cellIs" dxfId="805" priority="307" operator="between">
      <formula>0.001</formula>
      <formula>0.01</formula>
    </cfRule>
    <cfRule type="cellIs" dxfId="804" priority="308" operator="between">
      <formula>0</formula>
      <formula>0.001</formula>
    </cfRule>
    <cfRule type="cellIs" dxfId="803" priority="309" operator="between">
      <formula>0.01</formula>
      <formula>0.1</formula>
    </cfRule>
  </conditionalFormatting>
  <conditionalFormatting sqref="G72:H72">
    <cfRule type="cellIs" dxfId="802" priority="303" operator="equal">
      <formula>0</formula>
    </cfRule>
  </conditionalFormatting>
  <conditionalFormatting sqref="I72">
    <cfRule type="cellIs" dxfId="801" priority="297" operator="greaterThanOrEqual">
      <formula>10</formula>
    </cfRule>
    <cfRule type="cellIs" dxfId="800" priority="298" operator="between">
      <formula>1</formula>
      <formula>10</formula>
    </cfRule>
    <cfRule type="cellIs" dxfId="799" priority="299" operator="between">
      <formula>0.1</formula>
      <formula>1</formula>
    </cfRule>
    <cfRule type="cellIs" dxfId="798" priority="300" operator="between">
      <formula>0.001</formula>
      <formula>0.01</formula>
    </cfRule>
    <cfRule type="cellIs" dxfId="797" priority="301" operator="between">
      <formula>0</formula>
      <formula>0.001</formula>
    </cfRule>
    <cfRule type="cellIs" dxfId="796" priority="302" operator="between">
      <formula>0.01</formula>
      <formula>0.1</formula>
    </cfRule>
  </conditionalFormatting>
  <conditionalFormatting sqref="I72">
    <cfRule type="cellIs" dxfId="795" priority="296" operator="equal">
      <formula>0</formula>
    </cfRule>
  </conditionalFormatting>
  <conditionalFormatting sqref="L72">
    <cfRule type="cellIs" dxfId="794" priority="290" operator="greaterThanOrEqual">
      <formula>10</formula>
    </cfRule>
    <cfRule type="cellIs" dxfId="793" priority="291" operator="between">
      <formula>1</formula>
      <formula>10</formula>
    </cfRule>
    <cfRule type="cellIs" dxfId="792" priority="292" operator="between">
      <formula>0.1</formula>
      <formula>1</formula>
    </cfRule>
    <cfRule type="cellIs" dxfId="791" priority="293" operator="between">
      <formula>0.001</formula>
      <formula>0.01</formula>
    </cfRule>
    <cfRule type="cellIs" dxfId="790" priority="294" operator="between">
      <formula>0</formula>
      <formula>0.001</formula>
    </cfRule>
    <cfRule type="cellIs" dxfId="789" priority="295" operator="between">
      <formula>0.01</formula>
      <formula>0.1</formula>
    </cfRule>
  </conditionalFormatting>
  <conditionalFormatting sqref="L72:M72">
    <cfRule type="cellIs" dxfId="788" priority="289" operator="equal">
      <formula>0</formula>
    </cfRule>
  </conditionalFormatting>
  <conditionalFormatting sqref="N72">
    <cfRule type="cellIs" dxfId="787" priority="283" operator="greaterThanOrEqual">
      <formula>10</formula>
    </cfRule>
    <cfRule type="cellIs" dxfId="786" priority="284" operator="between">
      <formula>1</formula>
      <formula>10</formula>
    </cfRule>
    <cfRule type="cellIs" dxfId="785" priority="285" operator="between">
      <formula>0.1</formula>
      <formula>1</formula>
    </cfRule>
    <cfRule type="cellIs" dxfId="784" priority="286" operator="between">
      <formula>0.001</formula>
      <formula>0.01</formula>
    </cfRule>
    <cfRule type="cellIs" dxfId="783" priority="287" operator="between">
      <formula>0</formula>
      <formula>0.001</formula>
    </cfRule>
    <cfRule type="cellIs" dxfId="782" priority="288" operator="between">
      <formula>0.01</formula>
      <formula>0.1</formula>
    </cfRule>
  </conditionalFormatting>
  <conditionalFormatting sqref="N72">
    <cfRule type="cellIs" dxfId="781" priority="282" operator="equal">
      <formula>0</formula>
    </cfRule>
  </conditionalFormatting>
  <conditionalFormatting sqref="Q72">
    <cfRule type="cellIs" dxfId="780" priority="276" operator="greaterThanOrEqual">
      <formula>10</formula>
    </cfRule>
    <cfRule type="cellIs" dxfId="779" priority="277" operator="between">
      <formula>1</formula>
      <formula>10</formula>
    </cfRule>
    <cfRule type="cellIs" dxfId="778" priority="278" operator="between">
      <formula>0.1</formula>
      <formula>1</formula>
    </cfRule>
    <cfRule type="cellIs" dxfId="777" priority="279" operator="between">
      <formula>0.001</formula>
      <formula>0.01</formula>
    </cfRule>
    <cfRule type="cellIs" dxfId="776" priority="280" operator="between">
      <formula>0</formula>
      <formula>0.001</formula>
    </cfRule>
    <cfRule type="cellIs" dxfId="775" priority="281" operator="between">
      <formula>0.01</formula>
      <formula>0.1</formula>
    </cfRule>
  </conditionalFormatting>
  <conditionalFormatting sqref="Q72:R72">
    <cfRule type="cellIs" dxfId="774" priority="275" operator="equal">
      <formula>0</formula>
    </cfRule>
  </conditionalFormatting>
  <conditionalFormatting sqref="S72">
    <cfRule type="cellIs" dxfId="773" priority="269" operator="greaterThanOrEqual">
      <formula>10</formula>
    </cfRule>
    <cfRule type="cellIs" dxfId="772" priority="270" operator="between">
      <formula>1</formula>
      <formula>10</formula>
    </cfRule>
    <cfRule type="cellIs" dxfId="771" priority="271" operator="between">
      <formula>0.1</formula>
      <formula>1</formula>
    </cfRule>
    <cfRule type="cellIs" dxfId="770" priority="272" operator="between">
      <formula>0.001</formula>
      <formula>0.01</formula>
    </cfRule>
    <cfRule type="cellIs" dxfId="769" priority="273" operator="between">
      <formula>0</formula>
      <formula>0.001</formula>
    </cfRule>
    <cfRule type="cellIs" dxfId="768" priority="274" operator="between">
      <formula>0.01</formula>
      <formula>0.1</formula>
    </cfRule>
  </conditionalFormatting>
  <conditionalFormatting sqref="S72">
    <cfRule type="cellIs" dxfId="767" priority="268" operator="equal">
      <formula>0</formula>
    </cfRule>
  </conditionalFormatting>
  <conditionalFormatting sqref="B72">
    <cfRule type="cellIs" dxfId="766" priority="261" operator="between">
      <formula>0</formula>
      <formula>0.0001</formula>
    </cfRule>
    <cfRule type="cellIs" dxfId="765" priority="262" operator="greaterThanOrEqual">
      <formula>10</formula>
    </cfRule>
    <cfRule type="cellIs" dxfId="764" priority="263" operator="between">
      <formula>1</formula>
      <formula>10</formula>
    </cfRule>
    <cfRule type="cellIs" dxfId="763" priority="264" operator="between">
      <formula>0.1</formula>
      <formula>1</formula>
    </cfRule>
    <cfRule type="cellIs" dxfId="762" priority="265" operator="between">
      <formula>0.001</formula>
      <formula>0.01</formula>
    </cfRule>
    <cfRule type="cellIs" dxfId="761" priority="266" operator="between">
      <formula>0.0001</formula>
      <formula>0.001</formula>
    </cfRule>
    <cfRule type="cellIs" dxfId="760" priority="267" operator="between">
      <formula>0.01</formula>
      <formula>0.1</formula>
    </cfRule>
  </conditionalFormatting>
  <conditionalFormatting sqref="G72">
    <cfRule type="cellIs" dxfId="759" priority="254" operator="between">
      <formula>0</formula>
      <formula>0.0001</formula>
    </cfRule>
    <cfRule type="cellIs" dxfId="758" priority="255" operator="greaterThanOrEqual">
      <formula>10</formula>
    </cfRule>
    <cfRule type="cellIs" dxfId="757" priority="256" operator="between">
      <formula>1</formula>
      <formula>10</formula>
    </cfRule>
    <cfRule type="cellIs" dxfId="756" priority="257" operator="between">
      <formula>0.1</formula>
      <formula>1</formula>
    </cfRule>
    <cfRule type="cellIs" dxfId="755" priority="258" operator="between">
      <formula>0.001</formula>
      <formula>0.01</formula>
    </cfRule>
    <cfRule type="cellIs" dxfId="754" priority="259" operator="between">
      <formula>0.0001</formula>
      <formula>0.001</formula>
    </cfRule>
    <cfRule type="cellIs" dxfId="753" priority="260" operator="between">
      <formula>0.01</formula>
      <formula>0.1</formula>
    </cfRule>
  </conditionalFormatting>
  <conditionalFormatting sqref="L72">
    <cfRule type="cellIs" dxfId="752" priority="248" operator="greaterThanOrEqual">
      <formula>10</formula>
    </cfRule>
    <cfRule type="cellIs" dxfId="751" priority="249" operator="between">
      <formula>1</formula>
      <formula>10</formula>
    </cfRule>
    <cfRule type="cellIs" dxfId="750" priority="250" operator="between">
      <formula>0.1</formula>
      <formula>1</formula>
    </cfRule>
    <cfRule type="cellIs" dxfId="749" priority="251" operator="between">
      <formula>0.001</formula>
      <formula>0.01</formula>
    </cfRule>
    <cfRule type="cellIs" dxfId="748" priority="252" operator="between">
      <formula>0</formula>
      <formula>0.001</formula>
    </cfRule>
    <cfRule type="cellIs" dxfId="747" priority="253" operator="between">
      <formula>0.01</formula>
      <formula>0.1</formula>
    </cfRule>
  </conditionalFormatting>
  <conditionalFormatting sqref="L72:M72">
    <cfRule type="cellIs" dxfId="746" priority="247" operator="equal">
      <formula>0</formula>
    </cfRule>
  </conditionalFormatting>
  <conditionalFormatting sqref="N72">
    <cfRule type="cellIs" dxfId="745" priority="241" operator="greaterThanOrEqual">
      <formula>10</formula>
    </cfRule>
    <cfRule type="cellIs" dxfId="744" priority="242" operator="between">
      <formula>1</formula>
      <formula>10</formula>
    </cfRule>
    <cfRule type="cellIs" dxfId="743" priority="243" operator="between">
      <formula>0.1</formula>
      <formula>1</formula>
    </cfRule>
    <cfRule type="cellIs" dxfId="742" priority="244" operator="between">
      <formula>0.001</formula>
      <formula>0.01</formula>
    </cfRule>
    <cfRule type="cellIs" dxfId="741" priority="245" operator="between">
      <formula>0</formula>
      <formula>0.001</formula>
    </cfRule>
    <cfRule type="cellIs" dxfId="740" priority="246" operator="between">
      <formula>0.01</formula>
      <formula>0.1</formula>
    </cfRule>
  </conditionalFormatting>
  <conditionalFormatting sqref="N72">
    <cfRule type="cellIs" dxfId="739" priority="240" operator="equal">
      <formula>0</formula>
    </cfRule>
  </conditionalFormatting>
  <conditionalFormatting sqref="L72">
    <cfRule type="cellIs" dxfId="738" priority="233" operator="between">
      <formula>0</formula>
      <formula>0.0001</formula>
    </cfRule>
    <cfRule type="cellIs" dxfId="737" priority="234" operator="greaterThanOrEqual">
      <formula>10</formula>
    </cfRule>
    <cfRule type="cellIs" dxfId="736" priority="235" operator="between">
      <formula>1</formula>
      <formula>10</formula>
    </cfRule>
    <cfRule type="cellIs" dxfId="735" priority="236" operator="between">
      <formula>0.1</formula>
      <formula>1</formula>
    </cfRule>
    <cfRule type="cellIs" dxfId="734" priority="237" operator="between">
      <formula>0.001</formula>
      <formula>0.01</formula>
    </cfRule>
    <cfRule type="cellIs" dxfId="733" priority="238" operator="between">
      <formula>0.0001</formula>
      <formula>0.001</formula>
    </cfRule>
    <cfRule type="cellIs" dxfId="732" priority="239" operator="between">
      <formula>0.01</formula>
      <formula>0.1</formula>
    </cfRule>
  </conditionalFormatting>
  <conditionalFormatting sqref="D72">
    <cfRule type="cellIs" dxfId="731" priority="227" operator="greaterThanOrEqual">
      <formula>10</formula>
    </cfRule>
    <cfRule type="cellIs" dxfId="730" priority="228" operator="between">
      <formula>1</formula>
      <formula>10</formula>
    </cfRule>
    <cfRule type="cellIs" dxfId="729" priority="229" operator="between">
      <formula>0.1</formula>
      <formula>1</formula>
    </cfRule>
    <cfRule type="cellIs" dxfId="728" priority="230" operator="between">
      <formula>0.001</formula>
      <formula>0.01</formula>
    </cfRule>
    <cfRule type="cellIs" dxfId="727" priority="231" operator="between">
      <formula>0</formula>
      <formula>0.001</formula>
    </cfRule>
    <cfRule type="cellIs" dxfId="726" priority="232" operator="between">
      <formula>0.01</formula>
      <formula>0.1</formula>
    </cfRule>
  </conditionalFormatting>
  <conditionalFormatting sqref="D72">
    <cfRule type="cellIs" dxfId="725" priority="226" operator="equal">
      <formula>0</formula>
    </cfRule>
  </conditionalFormatting>
  <conditionalFormatting sqref="B72">
    <cfRule type="cellIs" dxfId="724" priority="219" operator="between">
      <formula>0.00000000001</formula>
      <formula>0.0001</formula>
    </cfRule>
    <cfRule type="cellIs" dxfId="723" priority="220" operator="greaterThanOrEqual">
      <formula>10</formula>
    </cfRule>
    <cfRule type="cellIs" dxfId="722" priority="221" operator="between">
      <formula>1</formula>
      <formula>10</formula>
    </cfRule>
    <cfRule type="cellIs" dxfId="721" priority="222" operator="between">
      <formula>0.1</formula>
      <formula>1</formula>
    </cfRule>
    <cfRule type="cellIs" dxfId="720" priority="223" operator="between">
      <formula>0.001</formula>
      <formula>0.01</formula>
    </cfRule>
    <cfRule type="cellIs" dxfId="719" priority="224" operator="between">
      <formula>0.0001</formula>
      <formula>0.001</formula>
    </cfRule>
    <cfRule type="cellIs" dxfId="718" priority="225" operator="between">
      <formula>0.01</formula>
      <formula>0.1</formula>
    </cfRule>
  </conditionalFormatting>
  <conditionalFormatting sqref="G72">
    <cfRule type="cellIs" dxfId="717" priority="212" operator="between">
      <formula>0</formula>
      <formula>0.0001</formula>
    </cfRule>
    <cfRule type="cellIs" dxfId="716" priority="213" operator="greaterThanOrEqual">
      <formula>10</formula>
    </cfRule>
    <cfRule type="cellIs" dxfId="715" priority="214" operator="between">
      <formula>1</formula>
      <formula>10</formula>
    </cfRule>
    <cfRule type="cellIs" dxfId="714" priority="215" operator="between">
      <formula>0.1</formula>
      <formula>1</formula>
    </cfRule>
    <cfRule type="cellIs" dxfId="713" priority="216" operator="between">
      <formula>0.001</formula>
      <formula>0.01</formula>
    </cfRule>
    <cfRule type="cellIs" dxfId="712" priority="217" operator="between">
      <formula>0.0001</formula>
      <formula>0.001</formula>
    </cfRule>
    <cfRule type="cellIs" dxfId="711" priority="218" operator="between">
      <formula>0.01</formula>
      <formula>0.1</formula>
    </cfRule>
  </conditionalFormatting>
  <conditionalFormatting sqref="I72">
    <cfRule type="cellIs" dxfId="710" priority="206" operator="greaterThanOrEqual">
      <formula>10</formula>
    </cfRule>
    <cfRule type="cellIs" dxfId="709" priority="207" operator="between">
      <formula>1</formula>
      <formula>10</formula>
    </cfRule>
    <cfRule type="cellIs" dxfId="708" priority="208" operator="between">
      <formula>0.1</formula>
      <formula>1</formula>
    </cfRule>
    <cfRule type="cellIs" dxfId="707" priority="209" operator="between">
      <formula>0.001</formula>
      <formula>0.01</formula>
    </cfRule>
    <cfRule type="cellIs" dxfId="706" priority="210" operator="between">
      <formula>0</formula>
      <formula>0.001</formula>
    </cfRule>
    <cfRule type="cellIs" dxfId="705" priority="211" operator="between">
      <formula>0.01</formula>
      <formula>0.1</formula>
    </cfRule>
  </conditionalFormatting>
  <conditionalFormatting sqref="I72">
    <cfRule type="cellIs" dxfId="704" priority="205" operator="equal">
      <formula>0</formula>
    </cfRule>
  </conditionalFormatting>
  <conditionalFormatting sqref="G72">
    <cfRule type="cellIs" dxfId="703" priority="198" operator="between">
      <formula>0.00000000001</formula>
      <formula>0.0001</formula>
    </cfRule>
    <cfRule type="cellIs" dxfId="702" priority="199" operator="greaterThanOrEqual">
      <formula>10</formula>
    </cfRule>
    <cfRule type="cellIs" dxfId="701" priority="200" operator="between">
      <formula>1</formula>
      <formula>10</formula>
    </cfRule>
    <cfRule type="cellIs" dxfId="700" priority="201" operator="between">
      <formula>0.1</formula>
      <formula>1</formula>
    </cfRule>
    <cfRule type="cellIs" dxfId="699" priority="202" operator="between">
      <formula>0.001</formula>
      <formula>0.01</formula>
    </cfRule>
    <cfRule type="cellIs" dxfId="698" priority="203" operator="between">
      <formula>0.0001</formula>
      <formula>0.001</formula>
    </cfRule>
    <cfRule type="cellIs" dxfId="697" priority="204" operator="between">
      <formula>0.01</formula>
      <formula>0.1</formula>
    </cfRule>
  </conditionalFormatting>
  <conditionalFormatting sqref="L72">
    <cfRule type="cellIs" dxfId="696" priority="192" operator="greaterThanOrEqual">
      <formula>10</formula>
    </cfRule>
    <cfRule type="cellIs" dxfId="695" priority="193" operator="between">
      <formula>1</formula>
      <formula>10</formula>
    </cfRule>
    <cfRule type="cellIs" dxfId="694" priority="194" operator="between">
      <formula>0.1</formula>
      <formula>1</formula>
    </cfRule>
    <cfRule type="cellIs" dxfId="693" priority="195" operator="between">
      <formula>0.001</formula>
      <formula>0.01</formula>
    </cfRule>
    <cfRule type="cellIs" dxfId="692" priority="196" operator="between">
      <formula>0</formula>
      <formula>0.001</formula>
    </cfRule>
    <cfRule type="cellIs" dxfId="691" priority="197" operator="between">
      <formula>0.01</formula>
      <formula>0.1</formula>
    </cfRule>
  </conditionalFormatting>
  <conditionalFormatting sqref="L72:M72">
    <cfRule type="cellIs" dxfId="690" priority="191" operator="equal">
      <formula>0</formula>
    </cfRule>
  </conditionalFormatting>
  <conditionalFormatting sqref="N72">
    <cfRule type="cellIs" dxfId="689" priority="185" operator="greaterThanOrEqual">
      <formula>10</formula>
    </cfRule>
    <cfRule type="cellIs" dxfId="688" priority="186" operator="between">
      <formula>1</formula>
      <formula>10</formula>
    </cfRule>
    <cfRule type="cellIs" dxfId="687" priority="187" operator="between">
      <formula>0.1</formula>
      <formula>1</formula>
    </cfRule>
    <cfRule type="cellIs" dxfId="686" priority="188" operator="between">
      <formula>0.001</formula>
      <formula>0.01</formula>
    </cfRule>
    <cfRule type="cellIs" dxfId="685" priority="189" operator="between">
      <formula>0</formula>
      <formula>0.001</formula>
    </cfRule>
    <cfRule type="cellIs" dxfId="684" priority="190" operator="between">
      <formula>0.01</formula>
      <formula>0.1</formula>
    </cfRule>
  </conditionalFormatting>
  <conditionalFormatting sqref="N72">
    <cfRule type="cellIs" dxfId="683" priority="184" operator="equal">
      <formula>0</formula>
    </cfRule>
  </conditionalFormatting>
  <conditionalFormatting sqref="L72">
    <cfRule type="cellIs" dxfId="682" priority="177" operator="between">
      <formula>0</formula>
      <formula>0.0001</formula>
    </cfRule>
    <cfRule type="cellIs" dxfId="681" priority="178" operator="greaterThanOrEqual">
      <formula>10</formula>
    </cfRule>
    <cfRule type="cellIs" dxfId="680" priority="179" operator="between">
      <formula>1</formula>
      <formula>10</formula>
    </cfRule>
    <cfRule type="cellIs" dxfId="679" priority="180" operator="between">
      <formula>0.1</formula>
      <formula>1</formula>
    </cfRule>
    <cfRule type="cellIs" dxfId="678" priority="181" operator="between">
      <formula>0.001</formula>
      <formula>0.01</formula>
    </cfRule>
    <cfRule type="cellIs" dxfId="677" priority="182" operator="between">
      <formula>0.0001</formula>
      <formula>0.001</formula>
    </cfRule>
    <cfRule type="cellIs" dxfId="676" priority="183" operator="between">
      <formula>0.01</formula>
      <formula>0.1</formula>
    </cfRule>
  </conditionalFormatting>
  <conditionalFormatting sqref="L72">
    <cfRule type="cellIs" dxfId="675" priority="170" operator="between">
      <formula>0</formula>
      <formula>0.0001</formula>
    </cfRule>
    <cfRule type="cellIs" dxfId="674" priority="171" operator="greaterThanOrEqual">
      <formula>10</formula>
    </cfRule>
    <cfRule type="cellIs" dxfId="673" priority="172" operator="between">
      <formula>1</formula>
      <formula>10</formula>
    </cfRule>
    <cfRule type="cellIs" dxfId="672" priority="173" operator="between">
      <formula>0.1</formula>
      <formula>1</formula>
    </cfRule>
    <cfRule type="cellIs" dxfId="671" priority="174" operator="between">
      <formula>0.001</formula>
      <formula>0.01</formula>
    </cfRule>
    <cfRule type="cellIs" dxfId="670" priority="175" operator="between">
      <formula>0.0001</formula>
      <formula>0.001</formula>
    </cfRule>
    <cfRule type="cellIs" dxfId="669" priority="176" operator="between">
      <formula>0.01</formula>
      <formula>0.1</formula>
    </cfRule>
  </conditionalFormatting>
  <conditionalFormatting sqref="N72">
    <cfRule type="cellIs" dxfId="668" priority="164" operator="greaterThanOrEqual">
      <formula>10</formula>
    </cfRule>
    <cfRule type="cellIs" dxfId="667" priority="165" operator="between">
      <formula>1</formula>
      <formula>10</formula>
    </cfRule>
    <cfRule type="cellIs" dxfId="666" priority="166" operator="between">
      <formula>0.1</formula>
      <formula>1</formula>
    </cfRule>
    <cfRule type="cellIs" dxfId="665" priority="167" operator="between">
      <formula>0.001</formula>
      <formula>0.01</formula>
    </cfRule>
    <cfRule type="cellIs" dxfId="664" priority="168" operator="between">
      <formula>0</formula>
      <formula>0.001</formula>
    </cfRule>
    <cfRule type="cellIs" dxfId="663" priority="169" operator="between">
      <formula>0.01</formula>
      <formula>0.1</formula>
    </cfRule>
  </conditionalFormatting>
  <conditionalFormatting sqref="L72">
    <cfRule type="cellIs" dxfId="662" priority="157" operator="between">
      <formula>0.00000000001</formula>
      <formula>0.0001</formula>
    </cfRule>
    <cfRule type="cellIs" dxfId="661" priority="158" operator="greaterThanOrEqual">
      <formula>10</formula>
    </cfRule>
    <cfRule type="cellIs" dxfId="660" priority="159" operator="between">
      <formula>1</formula>
      <formula>10</formula>
    </cfRule>
    <cfRule type="cellIs" dxfId="659" priority="160" operator="between">
      <formula>0.1</formula>
      <formula>1</formula>
    </cfRule>
    <cfRule type="cellIs" dxfId="658" priority="161" operator="between">
      <formula>0.001</formula>
      <formula>0.01</formula>
    </cfRule>
    <cfRule type="cellIs" dxfId="657" priority="162" operator="between">
      <formula>0.0001</formula>
      <formula>0.001</formula>
    </cfRule>
    <cfRule type="cellIs" dxfId="656" priority="163" operator="between">
      <formula>0.01</formula>
      <formula>0.1</formula>
    </cfRule>
  </conditionalFormatting>
  <conditionalFormatting sqref="B72:Z72">
    <cfRule type="cellIs" dxfId="655" priority="156" operator="equal">
      <formula>0</formula>
    </cfRule>
  </conditionalFormatting>
  <conditionalFormatting sqref="G61:J61">
    <cfRule type="cellIs" dxfId="654" priority="155" operator="equal">
      <formula>0</formula>
    </cfRule>
  </conditionalFormatting>
  <conditionalFormatting sqref="G61">
    <cfRule type="cellIs" dxfId="653" priority="149" operator="greaterThanOrEqual">
      <formula>10</formula>
    </cfRule>
    <cfRule type="cellIs" dxfId="652" priority="150" operator="between">
      <formula>1</formula>
      <formula>10</formula>
    </cfRule>
    <cfRule type="cellIs" dxfId="651" priority="151" operator="between">
      <formula>0.1</formula>
      <formula>1</formula>
    </cfRule>
    <cfRule type="cellIs" dxfId="650" priority="152" operator="between">
      <formula>0.001</formula>
      <formula>0.01</formula>
    </cfRule>
    <cfRule type="cellIs" dxfId="649" priority="153" operator="between">
      <formula>0</formula>
      <formula>0.001</formula>
    </cfRule>
    <cfRule type="cellIs" dxfId="648" priority="154" operator="between">
      <formula>0.01</formula>
      <formula>0.1</formula>
    </cfRule>
  </conditionalFormatting>
  <conditionalFormatting sqref="G61:H61">
    <cfRule type="cellIs" dxfId="647" priority="148" operator="equal">
      <formula>0</formula>
    </cfRule>
  </conditionalFormatting>
  <conditionalFormatting sqref="I61">
    <cfRule type="cellIs" dxfId="646" priority="142" operator="greaterThanOrEqual">
      <formula>10</formula>
    </cfRule>
    <cfRule type="cellIs" dxfId="645" priority="143" operator="between">
      <formula>1</formula>
      <formula>10</formula>
    </cfRule>
    <cfRule type="cellIs" dxfId="644" priority="144" operator="between">
      <formula>0.1</formula>
      <formula>1</formula>
    </cfRule>
    <cfRule type="cellIs" dxfId="643" priority="145" operator="between">
      <formula>0.001</formula>
      <formula>0.01</formula>
    </cfRule>
    <cfRule type="cellIs" dxfId="642" priority="146" operator="between">
      <formula>0</formula>
      <formula>0.001</formula>
    </cfRule>
    <cfRule type="cellIs" dxfId="641" priority="147" operator="between">
      <formula>0.01</formula>
      <formula>0.1</formula>
    </cfRule>
  </conditionalFormatting>
  <conditionalFormatting sqref="I61">
    <cfRule type="cellIs" dxfId="640" priority="141" operator="equal">
      <formula>0</formula>
    </cfRule>
  </conditionalFormatting>
  <conditionalFormatting sqref="L61">
    <cfRule type="cellIs" dxfId="639" priority="135" operator="greaterThanOrEqual">
      <formula>10</formula>
    </cfRule>
    <cfRule type="cellIs" dxfId="638" priority="136" operator="between">
      <formula>1</formula>
      <formula>10</formula>
    </cfRule>
    <cfRule type="cellIs" dxfId="637" priority="137" operator="between">
      <formula>0.1</formula>
      <formula>1</formula>
    </cfRule>
    <cfRule type="cellIs" dxfId="636" priority="138" operator="between">
      <formula>0.001</formula>
      <formula>0.01</formula>
    </cfRule>
    <cfRule type="cellIs" dxfId="635" priority="139" operator="between">
      <formula>0</formula>
      <formula>0.001</formula>
    </cfRule>
    <cfRule type="cellIs" dxfId="634" priority="140" operator="between">
      <formula>0.01</formula>
      <formula>0.1</formula>
    </cfRule>
  </conditionalFormatting>
  <conditionalFormatting sqref="L61:M61">
    <cfRule type="cellIs" dxfId="633" priority="134" operator="equal">
      <formula>0</formula>
    </cfRule>
  </conditionalFormatting>
  <conditionalFormatting sqref="N61">
    <cfRule type="cellIs" dxfId="632" priority="128" operator="greaterThanOrEqual">
      <formula>10</formula>
    </cfRule>
    <cfRule type="cellIs" dxfId="631" priority="129" operator="between">
      <formula>1</formula>
      <formula>10</formula>
    </cfRule>
    <cfRule type="cellIs" dxfId="630" priority="130" operator="between">
      <formula>0.1</formula>
      <formula>1</formula>
    </cfRule>
    <cfRule type="cellIs" dxfId="629" priority="131" operator="between">
      <formula>0.001</formula>
      <formula>0.01</formula>
    </cfRule>
    <cfRule type="cellIs" dxfId="628" priority="132" operator="between">
      <formula>0</formula>
      <formula>0.001</formula>
    </cfRule>
    <cfRule type="cellIs" dxfId="627" priority="133" operator="between">
      <formula>0.01</formula>
      <formula>0.1</formula>
    </cfRule>
  </conditionalFormatting>
  <conditionalFormatting sqref="N61">
    <cfRule type="cellIs" dxfId="626" priority="127" operator="equal">
      <formula>0</formula>
    </cfRule>
  </conditionalFormatting>
  <conditionalFormatting sqref="Q61">
    <cfRule type="cellIs" dxfId="625" priority="121" operator="greaterThanOrEqual">
      <formula>10</formula>
    </cfRule>
    <cfRule type="cellIs" dxfId="624" priority="122" operator="between">
      <formula>1</formula>
      <formula>10</formula>
    </cfRule>
    <cfRule type="cellIs" dxfId="623" priority="123" operator="between">
      <formula>0.1</formula>
      <formula>1</formula>
    </cfRule>
    <cfRule type="cellIs" dxfId="622" priority="124" operator="between">
      <formula>0.001</formula>
      <formula>0.01</formula>
    </cfRule>
    <cfRule type="cellIs" dxfId="621" priority="125" operator="between">
      <formula>0</formula>
      <formula>0.001</formula>
    </cfRule>
    <cfRule type="cellIs" dxfId="620" priority="126" operator="between">
      <formula>0.01</formula>
      <formula>0.1</formula>
    </cfRule>
  </conditionalFormatting>
  <conditionalFormatting sqref="Q61:R61">
    <cfRule type="cellIs" dxfId="619" priority="120" operator="equal">
      <formula>0</formula>
    </cfRule>
  </conditionalFormatting>
  <conditionalFormatting sqref="S61">
    <cfRule type="cellIs" dxfId="618" priority="114" operator="greaterThanOrEqual">
      <formula>10</formula>
    </cfRule>
    <cfRule type="cellIs" dxfId="617" priority="115" operator="between">
      <formula>1</formula>
      <formula>10</formula>
    </cfRule>
    <cfRule type="cellIs" dxfId="616" priority="116" operator="between">
      <formula>0.1</formula>
      <formula>1</formula>
    </cfRule>
    <cfRule type="cellIs" dxfId="615" priority="117" operator="between">
      <formula>0.001</formula>
      <formula>0.01</formula>
    </cfRule>
    <cfRule type="cellIs" dxfId="614" priority="118" operator="between">
      <formula>0</formula>
      <formula>0.001</formula>
    </cfRule>
    <cfRule type="cellIs" dxfId="613" priority="119" operator="between">
      <formula>0.01</formula>
      <formula>0.1</formula>
    </cfRule>
  </conditionalFormatting>
  <conditionalFormatting sqref="S61">
    <cfRule type="cellIs" dxfId="612" priority="113" operator="equal">
      <formula>0</formula>
    </cfRule>
  </conditionalFormatting>
  <conditionalFormatting sqref="B61">
    <cfRule type="cellIs" dxfId="611" priority="106" operator="between">
      <formula>0</formula>
      <formula>0.0001</formula>
    </cfRule>
    <cfRule type="cellIs" dxfId="610" priority="107" operator="greaterThanOrEqual">
      <formula>10</formula>
    </cfRule>
    <cfRule type="cellIs" dxfId="609" priority="108" operator="between">
      <formula>1</formula>
      <formula>10</formula>
    </cfRule>
    <cfRule type="cellIs" dxfId="608" priority="109" operator="between">
      <formula>0.1</formula>
      <formula>1</formula>
    </cfRule>
    <cfRule type="cellIs" dxfId="607" priority="110" operator="between">
      <formula>0.001</formula>
      <formula>0.01</formula>
    </cfRule>
    <cfRule type="cellIs" dxfId="606" priority="111" operator="between">
      <formula>0.0001</formula>
      <formula>0.001</formula>
    </cfRule>
    <cfRule type="cellIs" dxfId="605" priority="112" operator="between">
      <formula>0.01</formula>
      <formula>0.1</formula>
    </cfRule>
  </conditionalFormatting>
  <conditionalFormatting sqref="G61">
    <cfRule type="cellIs" dxfId="604" priority="99" operator="between">
      <formula>0</formula>
      <formula>0.0001</formula>
    </cfRule>
    <cfRule type="cellIs" dxfId="603" priority="100" operator="greaterThanOrEqual">
      <formula>10</formula>
    </cfRule>
    <cfRule type="cellIs" dxfId="602" priority="101" operator="between">
      <formula>1</formula>
      <formula>10</formula>
    </cfRule>
    <cfRule type="cellIs" dxfId="601" priority="102" operator="between">
      <formula>0.1</formula>
      <formula>1</formula>
    </cfRule>
    <cfRule type="cellIs" dxfId="600" priority="103" operator="between">
      <formula>0.001</formula>
      <formula>0.01</formula>
    </cfRule>
    <cfRule type="cellIs" dxfId="599" priority="104" operator="between">
      <formula>0.0001</formula>
      <formula>0.001</formula>
    </cfRule>
    <cfRule type="cellIs" dxfId="598" priority="105" operator="between">
      <formula>0.01</formula>
      <formula>0.1</formula>
    </cfRule>
  </conditionalFormatting>
  <conditionalFormatting sqref="L61">
    <cfRule type="cellIs" dxfId="597" priority="93" operator="greaterThanOrEqual">
      <formula>10</formula>
    </cfRule>
    <cfRule type="cellIs" dxfId="596" priority="94" operator="between">
      <formula>1</formula>
      <formula>10</formula>
    </cfRule>
    <cfRule type="cellIs" dxfId="595" priority="95" operator="between">
      <formula>0.1</formula>
      <formula>1</formula>
    </cfRule>
    <cfRule type="cellIs" dxfId="594" priority="96" operator="between">
      <formula>0.001</formula>
      <formula>0.01</formula>
    </cfRule>
    <cfRule type="cellIs" dxfId="593" priority="97" operator="between">
      <formula>0</formula>
      <formula>0.001</formula>
    </cfRule>
    <cfRule type="cellIs" dxfId="592" priority="98" operator="between">
      <formula>0.01</formula>
      <formula>0.1</formula>
    </cfRule>
  </conditionalFormatting>
  <conditionalFormatting sqref="L61:M61">
    <cfRule type="cellIs" dxfId="591" priority="92" operator="equal">
      <formula>0</formula>
    </cfRule>
  </conditionalFormatting>
  <conditionalFormatting sqref="N61">
    <cfRule type="cellIs" dxfId="590" priority="86" operator="greaterThanOrEqual">
      <formula>10</formula>
    </cfRule>
    <cfRule type="cellIs" dxfId="589" priority="87" operator="between">
      <formula>1</formula>
      <formula>10</formula>
    </cfRule>
    <cfRule type="cellIs" dxfId="588" priority="88" operator="between">
      <formula>0.1</formula>
      <formula>1</formula>
    </cfRule>
    <cfRule type="cellIs" dxfId="587" priority="89" operator="between">
      <formula>0.001</formula>
      <formula>0.01</formula>
    </cfRule>
    <cfRule type="cellIs" dxfId="586" priority="90" operator="between">
      <formula>0</formula>
      <formula>0.001</formula>
    </cfRule>
    <cfRule type="cellIs" dxfId="585" priority="91" operator="between">
      <formula>0.01</formula>
      <formula>0.1</formula>
    </cfRule>
  </conditionalFormatting>
  <conditionalFormatting sqref="N61">
    <cfRule type="cellIs" dxfId="584" priority="85" operator="equal">
      <formula>0</formula>
    </cfRule>
  </conditionalFormatting>
  <conditionalFormatting sqref="L61">
    <cfRule type="cellIs" dxfId="583" priority="78" operator="between">
      <formula>0</formula>
      <formula>0.0001</formula>
    </cfRule>
    <cfRule type="cellIs" dxfId="582" priority="79" operator="greaterThanOrEqual">
      <formula>10</formula>
    </cfRule>
    <cfRule type="cellIs" dxfId="581" priority="80" operator="between">
      <formula>1</formula>
      <formula>10</formula>
    </cfRule>
    <cfRule type="cellIs" dxfId="580" priority="81" operator="between">
      <formula>0.1</formula>
      <formula>1</formula>
    </cfRule>
    <cfRule type="cellIs" dxfId="579" priority="82" operator="between">
      <formula>0.001</formula>
      <formula>0.01</formula>
    </cfRule>
    <cfRule type="cellIs" dxfId="578" priority="83" operator="between">
      <formula>0.0001</formula>
      <formula>0.001</formula>
    </cfRule>
    <cfRule type="cellIs" dxfId="577" priority="84" operator="between">
      <formula>0.01</formula>
      <formula>0.1</formula>
    </cfRule>
  </conditionalFormatting>
  <conditionalFormatting sqref="D61">
    <cfRule type="cellIs" dxfId="576" priority="72" operator="greaterThanOrEqual">
      <formula>10</formula>
    </cfRule>
    <cfRule type="cellIs" dxfId="575" priority="73" operator="between">
      <formula>1</formula>
      <formula>10</formula>
    </cfRule>
    <cfRule type="cellIs" dxfId="574" priority="74" operator="between">
      <formula>0.1</formula>
      <formula>1</formula>
    </cfRule>
    <cfRule type="cellIs" dxfId="573" priority="75" operator="between">
      <formula>0.001</formula>
      <formula>0.01</formula>
    </cfRule>
    <cfRule type="cellIs" dxfId="572" priority="76" operator="between">
      <formula>0</formula>
      <formula>0.001</formula>
    </cfRule>
    <cfRule type="cellIs" dxfId="571" priority="77" operator="between">
      <formula>0.01</formula>
      <formula>0.1</formula>
    </cfRule>
  </conditionalFormatting>
  <conditionalFormatting sqref="D61">
    <cfRule type="cellIs" dxfId="570" priority="71" operator="equal">
      <formula>0</formula>
    </cfRule>
  </conditionalFormatting>
  <conditionalFormatting sqref="B61">
    <cfRule type="cellIs" dxfId="569" priority="64" operator="between">
      <formula>0.00000000001</formula>
      <formula>0.0001</formula>
    </cfRule>
    <cfRule type="cellIs" dxfId="568" priority="65" operator="greaterThanOrEqual">
      <formula>10</formula>
    </cfRule>
    <cfRule type="cellIs" dxfId="567" priority="66" operator="between">
      <formula>1</formula>
      <formula>10</formula>
    </cfRule>
    <cfRule type="cellIs" dxfId="566" priority="67" operator="between">
      <formula>0.1</formula>
      <formula>1</formula>
    </cfRule>
    <cfRule type="cellIs" dxfId="565" priority="68" operator="between">
      <formula>0.001</formula>
      <formula>0.01</formula>
    </cfRule>
    <cfRule type="cellIs" dxfId="564" priority="69" operator="between">
      <formula>0.0001</formula>
      <formula>0.001</formula>
    </cfRule>
    <cfRule type="cellIs" dxfId="563" priority="70" operator="between">
      <formula>0.01</formula>
      <formula>0.1</formula>
    </cfRule>
  </conditionalFormatting>
  <conditionalFormatting sqref="G61">
    <cfRule type="cellIs" dxfId="562" priority="57" operator="between">
      <formula>0</formula>
      <formula>0.0001</formula>
    </cfRule>
    <cfRule type="cellIs" dxfId="561" priority="58" operator="greaterThanOrEqual">
      <formula>10</formula>
    </cfRule>
    <cfRule type="cellIs" dxfId="560" priority="59" operator="between">
      <formula>1</formula>
      <formula>10</formula>
    </cfRule>
    <cfRule type="cellIs" dxfId="559" priority="60" operator="between">
      <formula>0.1</formula>
      <formula>1</formula>
    </cfRule>
    <cfRule type="cellIs" dxfId="558" priority="61" operator="between">
      <formula>0.001</formula>
      <formula>0.01</formula>
    </cfRule>
    <cfRule type="cellIs" dxfId="557" priority="62" operator="between">
      <formula>0.0001</formula>
      <formula>0.001</formula>
    </cfRule>
    <cfRule type="cellIs" dxfId="556" priority="63" operator="between">
      <formula>0.01</formula>
      <formula>0.1</formula>
    </cfRule>
  </conditionalFormatting>
  <conditionalFormatting sqref="I61">
    <cfRule type="cellIs" dxfId="555" priority="51" operator="greaterThanOrEqual">
      <formula>10</formula>
    </cfRule>
    <cfRule type="cellIs" dxfId="554" priority="52" operator="between">
      <formula>1</formula>
      <formula>10</formula>
    </cfRule>
    <cfRule type="cellIs" dxfId="553" priority="53" operator="between">
      <formula>0.1</formula>
      <formula>1</formula>
    </cfRule>
    <cfRule type="cellIs" dxfId="552" priority="54" operator="between">
      <formula>0.001</formula>
      <formula>0.01</formula>
    </cfRule>
    <cfRule type="cellIs" dxfId="551" priority="55" operator="between">
      <formula>0</formula>
      <formula>0.001</formula>
    </cfRule>
    <cfRule type="cellIs" dxfId="550" priority="56" operator="between">
      <formula>0.01</formula>
      <formula>0.1</formula>
    </cfRule>
  </conditionalFormatting>
  <conditionalFormatting sqref="I61">
    <cfRule type="cellIs" dxfId="549" priority="50" operator="equal">
      <formula>0</formula>
    </cfRule>
  </conditionalFormatting>
  <conditionalFormatting sqref="G61">
    <cfRule type="cellIs" dxfId="548" priority="43" operator="between">
      <formula>0.00000000001</formula>
      <formula>0.0001</formula>
    </cfRule>
    <cfRule type="cellIs" dxfId="547" priority="44" operator="greaterThanOrEqual">
      <formula>10</formula>
    </cfRule>
    <cfRule type="cellIs" dxfId="546" priority="45" operator="between">
      <formula>1</formula>
      <formula>10</formula>
    </cfRule>
    <cfRule type="cellIs" dxfId="545" priority="46" operator="between">
      <formula>0.1</formula>
      <formula>1</formula>
    </cfRule>
    <cfRule type="cellIs" dxfId="544" priority="47" operator="between">
      <formula>0.001</formula>
      <formula>0.01</formula>
    </cfRule>
    <cfRule type="cellIs" dxfId="543" priority="48" operator="between">
      <formula>0.0001</formula>
      <formula>0.001</formula>
    </cfRule>
    <cfRule type="cellIs" dxfId="542" priority="49" operator="between">
      <formula>0.01</formula>
      <formula>0.1</formula>
    </cfRule>
  </conditionalFormatting>
  <conditionalFormatting sqref="L61">
    <cfRule type="cellIs" dxfId="541" priority="37" operator="greaterThanOrEqual">
      <formula>10</formula>
    </cfRule>
    <cfRule type="cellIs" dxfId="540" priority="38" operator="between">
      <formula>1</formula>
      <formula>10</formula>
    </cfRule>
    <cfRule type="cellIs" dxfId="539" priority="39" operator="between">
      <formula>0.1</formula>
      <formula>1</formula>
    </cfRule>
    <cfRule type="cellIs" dxfId="538" priority="40" operator="between">
      <formula>0.001</formula>
      <formula>0.01</formula>
    </cfRule>
    <cfRule type="cellIs" dxfId="537" priority="41" operator="between">
      <formula>0</formula>
      <formula>0.001</formula>
    </cfRule>
    <cfRule type="cellIs" dxfId="536" priority="42" operator="between">
      <formula>0.01</formula>
      <formula>0.1</formula>
    </cfRule>
  </conditionalFormatting>
  <conditionalFormatting sqref="L61:M61">
    <cfRule type="cellIs" dxfId="535" priority="36" operator="equal">
      <formula>0</formula>
    </cfRule>
  </conditionalFormatting>
  <conditionalFormatting sqref="N61">
    <cfRule type="cellIs" dxfId="534" priority="30" operator="greaterThanOrEqual">
      <formula>10</formula>
    </cfRule>
    <cfRule type="cellIs" dxfId="533" priority="31" operator="between">
      <formula>1</formula>
      <formula>10</formula>
    </cfRule>
    <cfRule type="cellIs" dxfId="532" priority="32" operator="between">
      <formula>0.1</formula>
      <formula>1</formula>
    </cfRule>
    <cfRule type="cellIs" dxfId="531" priority="33" operator="between">
      <formula>0.001</formula>
      <formula>0.01</formula>
    </cfRule>
    <cfRule type="cellIs" dxfId="530" priority="34" operator="between">
      <formula>0</formula>
      <formula>0.001</formula>
    </cfRule>
    <cfRule type="cellIs" dxfId="529" priority="35" operator="between">
      <formula>0.01</formula>
      <formula>0.1</formula>
    </cfRule>
  </conditionalFormatting>
  <conditionalFormatting sqref="N61">
    <cfRule type="cellIs" dxfId="528" priority="29" operator="equal">
      <formula>0</formula>
    </cfRule>
  </conditionalFormatting>
  <conditionalFormatting sqref="L61">
    <cfRule type="cellIs" dxfId="527" priority="22" operator="between">
      <formula>0</formula>
      <formula>0.0001</formula>
    </cfRule>
    <cfRule type="cellIs" dxfId="526" priority="23" operator="greaterThanOrEqual">
      <formula>10</formula>
    </cfRule>
    <cfRule type="cellIs" dxfId="525" priority="24" operator="between">
      <formula>1</formula>
      <formula>10</formula>
    </cfRule>
    <cfRule type="cellIs" dxfId="524" priority="25" operator="between">
      <formula>0.1</formula>
      <formula>1</formula>
    </cfRule>
    <cfRule type="cellIs" dxfId="523" priority="26" operator="between">
      <formula>0.001</formula>
      <formula>0.01</formula>
    </cfRule>
    <cfRule type="cellIs" dxfId="522" priority="27" operator="between">
      <formula>0.0001</formula>
      <formula>0.001</formula>
    </cfRule>
    <cfRule type="cellIs" dxfId="521" priority="28" operator="between">
      <formula>0.01</formula>
      <formula>0.1</formula>
    </cfRule>
  </conditionalFormatting>
  <conditionalFormatting sqref="L61">
    <cfRule type="cellIs" dxfId="520" priority="15" operator="between">
      <formula>0</formula>
      <formula>0.0001</formula>
    </cfRule>
    <cfRule type="cellIs" dxfId="519" priority="16" operator="greaterThanOrEqual">
      <formula>10</formula>
    </cfRule>
    <cfRule type="cellIs" dxfId="518" priority="17" operator="between">
      <formula>1</formula>
      <formula>10</formula>
    </cfRule>
    <cfRule type="cellIs" dxfId="517" priority="18" operator="between">
      <formula>0.1</formula>
      <formula>1</formula>
    </cfRule>
    <cfRule type="cellIs" dxfId="516" priority="19" operator="between">
      <formula>0.001</formula>
      <formula>0.01</formula>
    </cfRule>
    <cfRule type="cellIs" dxfId="515" priority="20" operator="between">
      <formula>0.0001</formula>
      <formula>0.001</formula>
    </cfRule>
    <cfRule type="cellIs" dxfId="514" priority="21" operator="between">
      <formula>0.01</formula>
      <formula>0.1</formula>
    </cfRule>
  </conditionalFormatting>
  <conditionalFormatting sqref="N61">
    <cfRule type="cellIs" dxfId="513" priority="9" operator="greaterThanOrEqual">
      <formula>10</formula>
    </cfRule>
    <cfRule type="cellIs" dxfId="512" priority="10" operator="between">
      <formula>1</formula>
      <formula>10</formula>
    </cfRule>
    <cfRule type="cellIs" dxfId="511" priority="11" operator="between">
      <formula>0.1</formula>
      <formula>1</formula>
    </cfRule>
    <cfRule type="cellIs" dxfId="510" priority="12" operator="between">
      <formula>0.001</formula>
      <formula>0.01</formula>
    </cfRule>
    <cfRule type="cellIs" dxfId="509" priority="13" operator="between">
      <formula>0</formula>
      <formula>0.001</formula>
    </cfRule>
    <cfRule type="cellIs" dxfId="508" priority="14" operator="between">
      <formula>0.01</formula>
      <formula>0.1</formula>
    </cfRule>
  </conditionalFormatting>
  <conditionalFormatting sqref="L61">
    <cfRule type="cellIs" dxfId="507" priority="2" operator="between">
      <formula>0.00000000001</formula>
      <formula>0.0001</formula>
    </cfRule>
    <cfRule type="cellIs" dxfId="506" priority="3" operator="greaterThanOrEqual">
      <formula>10</formula>
    </cfRule>
    <cfRule type="cellIs" dxfId="505" priority="4" operator="between">
      <formula>1</formula>
      <formula>10</formula>
    </cfRule>
    <cfRule type="cellIs" dxfId="504" priority="5" operator="between">
      <formula>0.1</formula>
      <formula>1</formula>
    </cfRule>
    <cfRule type="cellIs" dxfId="503" priority="6" operator="between">
      <formula>0.001</formula>
      <formula>0.01</formula>
    </cfRule>
    <cfRule type="cellIs" dxfId="502" priority="7" operator="between">
      <formula>0.0001</formula>
      <formula>0.001</formula>
    </cfRule>
    <cfRule type="cellIs" dxfId="501" priority="8" operator="between">
      <formula>0.01</formula>
      <formula>0.1</formula>
    </cfRule>
  </conditionalFormatting>
  <conditionalFormatting sqref="B61:Z61">
    <cfRule type="cellIs" dxfId="500" priority="1" operator="equal">
      <formula>0</formula>
    </cfRule>
  </conditionalFormatting>
  <dataValidations count="1">
    <dataValidation type="list" allowBlank="1" showInputMessage="1" showErrorMessage="1" sqref="E4:E5" xr:uid="{3640F6E9-DB33-442F-9228-674C905543B4}">
      <formula1>Boolean</formula1>
    </dataValidation>
  </dataValidations>
  <pageMargins left="0.7" right="0.7" top="0.75" bottom="0.75" header="0.51180555555555496" footer="0.51180555555555496"/>
  <pageSetup paperSize="9" firstPageNumber="0" orientation="landscape" horizontalDpi="300" verticalDpi="300" r:id="rId1"/>
  <headerFooter>
    <oddFooter>&amp;C&amp;1#&amp;"Arial"&amp;10&amp;K000000---Internal Use---</oddFooter>
  </headerFooter>
  <rowBreaks count="2" manualBreakCount="2">
    <brk id="29" max="16383" man="1"/>
    <brk id="48" max="16383" man="1"/>
  </rowBreaks>
  <legacyDrawing r:id="rId2"/>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C45C1C-E5E8-477D-BADB-B85DD4E36147}">
  <sheetPr codeName="Tabelle30"/>
  <dimension ref="A1:U55"/>
  <sheetViews>
    <sheetView workbookViewId="0"/>
  </sheetViews>
  <sheetFormatPr defaultColWidth="9.140625" defaultRowHeight="15"/>
  <cols>
    <col min="1" max="1" width="28.140625" customWidth="1"/>
    <col min="2" max="2" width="16.5703125" customWidth="1"/>
    <col min="3" max="9" width="17.7109375" customWidth="1"/>
    <col min="10" max="17" width="17.7109375" hidden="1" customWidth="1"/>
    <col min="18" max="21" width="17.7109375" customWidth="1"/>
    <col min="27" max="27" width="34.85546875" customWidth="1"/>
  </cols>
  <sheetData>
    <row r="1" spans="1:18" ht="19.5" thickBot="1">
      <c r="A1" s="22" t="str">
        <f>IF(AND(LEFT(InOut,3)="Ind",E4="No"), "Bystander exposure for "&amp;i_ProductName&amp;" - not relevant for indoor applications","Bystander exposure for "&amp;i_ProductName)</f>
        <v xml:space="preserve">Bystander exposure for </v>
      </c>
      <c r="C1" s="22"/>
    </row>
    <row r="2" spans="1:18" ht="30" customHeight="1">
      <c r="A2" s="229" t="s">
        <v>512</v>
      </c>
      <c r="B2" s="1063" t="e" cm="1">
        <f t="array" ref="B2">i_CropType&amp;" ("&amp;i_ByCropType&amp;")"</f>
        <v>#N/A</v>
      </c>
      <c r="C2" s="1063"/>
      <c r="D2" s="361" t="s">
        <v>411</v>
      </c>
      <c r="E2" s="236" t="str">
        <f>i_Season</f>
        <v>not relevant</v>
      </c>
      <c r="F2" s="236"/>
      <c r="G2" s="236"/>
      <c r="H2" s="236"/>
      <c r="I2" s="236"/>
      <c r="J2" s="236"/>
      <c r="K2" s="236"/>
      <c r="L2" s="236"/>
      <c r="M2" s="236"/>
      <c r="N2" s="236"/>
      <c r="O2" s="236"/>
      <c r="P2" s="236"/>
      <c r="Q2" s="236"/>
      <c r="R2" s="238"/>
    </row>
    <row r="3" spans="1:18" ht="15.75" thickBot="1">
      <c r="A3" s="666" t="s">
        <v>331</v>
      </c>
      <c r="B3" s="235">
        <f>i_AppMeth</f>
        <v>0</v>
      </c>
      <c r="C3" s="235"/>
      <c r="D3" s="235"/>
      <c r="E3" s="390"/>
      <c r="F3" s="235"/>
      <c r="G3" s="235"/>
      <c r="H3" s="235"/>
      <c r="I3" s="235"/>
      <c r="J3" s="235"/>
      <c r="K3" s="235"/>
      <c r="L3" s="235"/>
      <c r="M3" s="235"/>
      <c r="N3" s="235"/>
      <c r="O3" s="235"/>
      <c r="P3" s="235"/>
      <c r="Q3" s="235"/>
      <c r="R3" s="239"/>
    </row>
    <row r="4" spans="1:18" ht="30.75" thickBot="1">
      <c r="A4" s="666" t="s">
        <v>332</v>
      </c>
      <c r="B4" s="235">
        <f>i_AppEquip</f>
        <v>0</v>
      </c>
      <c r="C4" s="235"/>
      <c r="D4" s="584" t="s">
        <v>795</v>
      </c>
      <c r="E4" s="586" t="s">
        <v>455</v>
      </c>
      <c r="F4" s="235"/>
      <c r="G4" s="235"/>
      <c r="H4" s="235"/>
      <c r="I4" s="235"/>
      <c r="J4" s="235"/>
      <c r="K4" s="235"/>
      <c r="L4" s="235"/>
      <c r="M4" s="235"/>
      <c r="N4" s="235"/>
      <c r="O4" s="235"/>
      <c r="P4" s="235"/>
      <c r="Q4" s="235"/>
      <c r="R4" s="223" t="s">
        <v>796</v>
      </c>
    </row>
    <row r="5" spans="1:18" ht="30.75" thickBot="1">
      <c r="A5" s="666" t="s">
        <v>311</v>
      </c>
      <c r="B5" s="1064">
        <f>i_FormVal</f>
        <v>0</v>
      </c>
      <c r="C5" s="1064"/>
      <c r="D5" s="584" t="s">
        <v>797</v>
      </c>
      <c r="E5" s="586" t="s">
        <v>565</v>
      </c>
      <c r="F5" s="235"/>
      <c r="G5" s="235"/>
      <c r="H5" s="235"/>
      <c r="I5" s="235"/>
      <c r="J5" s="235"/>
      <c r="K5" s="235"/>
      <c r="L5" s="235"/>
      <c r="M5" s="235"/>
      <c r="N5" s="235"/>
      <c r="O5" s="235"/>
      <c r="P5" s="235"/>
      <c r="Q5" s="235"/>
      <c r="R5" s="223" t="s">
        <v>798</v>
      </c>
    </row>
    <row r="6" spans="1:18" ht="15" customHeight="1" thickBot="1">
      <c r="A6" s="231" t="s">
        <v>334</v>
      </c>
      <c r="B6" s="235">
        <f>i_Buffer</f>
        <v>0</v>
      </c>
      <c r="C6" s="679" t="s">
        <v>799</v>
      </c>
      <c r="D6" s="679"/>
      <c r="E6" s="235"/>
      <c r="F6" s="235"/>
      <c r="G6" s="235"/>
      <c r="H6" s="235"/>
      <c r="I6" s="235"/>
      <c r="J6" s="235"/>
      <c r="K6" s="235"/>
      <c r="L6" s="235"/>
      <c r="M6" s="235"/>
      <c r="N6" s="235"/>
      <c r="O6" s="235"/>
      <c r="P6" s="235"/>
      <c r="Q6" s="235"/>
      <c r="R6" s="223" t="s">
        <v>800</v>
      </c>
    </row>
    <row r="7" spans="1:18" ht="15" customHeight="1" thickBot="1">
      <c r="A7" s="70"/>
      <c r="B7" s="240"/>
      <c r="C7" s="1083">
        <f>i_SubstName1</f>
        <v>0</v>
      </c>
      <c r="D7" s="1084"/>
      <c r="E7" s="1085"/>
      <c r="F7" s="1083">
        <f>i_SubstName2</f>
        <v>0</v>
      </c>
      <c r="G7" s="1084"/>
      <c r="H7" s="1084"/>
      <c r="I7" s="1085"/>
      <c r="J7" s="1083">
        <f>i_SubstName3</f>
        <v>0</v>
      </c>
      <c r="K7" s="1084"/>
      <c r="L7" s="1084"/>
      <c r="M7" s="1085"/>
      <c r="N7" s="1083">
        <f>i_SubstName4</f>
        <v>0</v>
      </c>
      <c r="O7" s="1084"/>
      <c r="P7" s="1084"/>
      <c r="Q7" s="1085"/>
      <c r="R7" s="223"/>
    </row>
    <row r="8" spans="1:18" ht="15" customHeight="1">
      <c r="A8" s="1174" t="s">
        <v>801</v>
      </c>
      <c r="B8" s="1175"/>
      <c r="C8" s="1098">
        <f>i_AppRateAS1</f>
        <v>0</v>
      </c>
      <c r="D8" s="1099"/>
      <c r="E8" s="1100"/>
      <c r="F8" s="1098">
        <f>i_AppRateAS2</f>
        <v>0</v>
      </c>
      <c r="G8" s="1099"/>
      <c r="H8" s="1099"/>
      <c r="I8" s="1100"/>
      <c r="J8" s="1098">
        <f>i_AppRateAS3</f>
        <v>0</v>
      </c>
      <c r="K8" s="1099"/>
      <c r="L8" s="1099"/>
      <c r="M8" s="1100"/>
      <c r="N8" s="1098">
        <f>i_AppRateAS4</f>
        <v>0</v>
      </c>
      <c r="O8" s="1099"/>
      <c r="P8" s="1099"/>
      <c r="Q8" s="1100"/>
      <c r="R8" s="223" t="s">
        <v>401</v>
      </c>
    </row>
    <row r="9" spans="1:18" ht="30" customHeight="1">
      <c r="A9" s="1106" t="str">
        <f>"Concentration of active substance (in-use dilution for liquid applications)"&amp;" "&amp;IF(i_FormVal="Granules, fine granules","(kg a.s./kg)","(g a.s./L)")</f>
        <v>Concentration of active substance (in-use dilution for liquid applications) (g a.s./L)</v>
      </c>
      <c r="B9" s="1110"/>
      <c r="C9" s="869" t="e">
        <f>d_ConcAs1</f>
        <v>#DIV/0!</v>
      </c>
      <c r="D9" s="1002"/>
      <c r="E9" s="870"/>
      <c r="F9" s="869" t="e">
        <f>d_ConcAs2</f>
        <v>#DIV/0!</v>
      </c>
      <c r="G9" s="1002"/>
      <c r="H9" s="1002"/>
      <c r="I9" s="870"/>
      <c r="J9" s="869" t="e">
        <f>d_ConcAs3</f>
        <v>#DIV/0!</v>
      </c>
      <c r="K9" s="1002"/>
      <c r="L9" s="1002"/>
      <c r="M9" s="870"/>
      <c r="N9" s="869" t="e">
        <f>d_ConcAs4</f>
        <v>#DIV/0!</v>
      </c>
      <c r="O9" s="1002"/>
      <c r="P9" s="1002"/>
      <c r="Q9" s="870"/>
      <c r="R9" s="223" t="s">
        <v>802</v>
      </c>
    </row>
    <row r="10" spans="1:18" ht="15" customHeight="1">
      <c r="A10" s="1106" t="s">
        <v>354</v>
      </c>
      <c r="B10" s="1110"/>
      <c r="C10" s="1006">
        <f>i_AbsorpProduct1</f>
        <v>0</v>
      </c>
      <c r="D10" s="1007"/>
      <c r="E10" s="1008"/>
      <c r="F10" s="1006">
        <f>i_AbsorpProduct2</f>
        <v>0</v>
      </c>
      <c r="G10" s="1007"/>
      <c r="H10" s="1007"/>
      <c r="I10" s="1008"/>
      <c r="J10" s="1006">
        <f>i_AbsorpProduct3</f>
        <v>0</v>
      </c>
      <c r="K10" s="1007"/>
      <c r="L10" s="1007"/>
      <c r="M10" s="1008"/>
      <c r="N10" s="1006">
        <f>i_AbsorpProduct4</f>
        <v>0</v>
      </c>
      <c r="O10" s="1007"/>
      <c r="P10" s="1007"/>
      <c r="Q10" s="1008"/>
      <c r="R10" s="223" t="s">
        <v>406</v>
      </c>
    </row>
    <row r="11" spans="1:18" ht="15" customHeight="1">
      <c r="A11" s="1106" t="s">
        <v>355</v>
      </c>
      <c r="B11" s="1110"/>
      <c r="C11" s="1006">
        <f>i_AbsorpInuse1</f>
        <v>0</v>
      </c>
      <c r="D11" s="1007"/>
      <c r="E11" s="1008"/>
      <c r="F11" s="1006">
        <f>i_AbsorpInuse2</f>
        <v>0</v>
      </c>
      <c r="G11" s="1007"/>
      <c r="H11" s="1007"/>
      <c r="I11" s="1008"/>
      <c r="J11" s="1006">
        <f>i_AbsorpInuse3</f>
        <v>0</v>
      </c>
      <c r="K11" s="1007"/>
      <c r="L11" s="1007"/>
      <c r="M11" s="1008"/>
      <c r="N11" s="1006">
        <f>i_AbsorpInuse4</f>
        <v>0</v>
      </c>
      <c r="O11" s="1007"/>
      <c r="P11" s="1007"/>
      <c r="Q11" s="1008"/>
      <c r="R11" s="223" t="s">
        <v>526</v>
      </c>
    </row>
    <row r="12" spans="1:18" ht="15" customHeight="1">
      <c r="A12" s="1106" t="s">
        <v>803</v>
      </c>
      <c r="B12" s="1110"/>
      <c r="C12" s="1006">
        <f>IF(i_AbsorpOralInuse1&gt;0.8,1,i_AbsorpOralInuse1)</f>
        <v>1</v>
      </c>
      <c r="D12" s="1007"/>
      <c r="E12" s="1008"/>
      <c r="F12" s="1006">
        <f>IF(i_AbsorpOralInuse2&gt;0.8,1,i_AbsorpOralInuse2)</f>
        <v>1</v>
      </c>
      <c r="G12" s="1007"/>
      <c r="H12" s="1007"/>
      <c r="I12" s="1008"/>
      <c r="J12" s="1006">
        <f>IF(i_AbsorpOralInuse3&gt;0.8,1,i_AbsorpOralInuse3)</f>
        <v>1</v>
      </c>
      <c r="K12" s="1007"/>
      <c r="L12" s="1007"/>
      <c r="M12" s="1008"/>
      <c r="N12" s="1006">
        <f>IF(i_AbsorpOralInuse4&gt;0.8,1,i_AbsorpOralInuse4)</f>
        <v>1</v>
      </c>
      <c r="O12" s="1007"/>
      <c r="P12" s="1007"/>
      <c r="Q12" s="1008"/>
      <c r="R12" s="223" t="s">
        <v>804</v>
      </c>
    </row>
    <row r="13" spans="1:18" ht="15" customHeight="1">
      <c r="A13" s="1106" t="s">
        <v>805</v>
      </c>
      <c r="B13" s="1110"/>
      <c r="C13" s="1006">
        <f>i_AbsorpInhalation1</f>
        <v>1</v>
      </c>
      <c r="D13" s="1007"/>
      <c r="E13" s="1008"/>
      <c r="F13" s="1006">
        <f>i_AbsorpInhalation2</f>
        <v>1</v>
      </c>
      <c r="G13" s="1007"/>
      <c r="H13" s="1007"/>
      <c r="I13" s="1008"/>
      <c r="J13" s="1006">
        <f>i_AbsorpInhalation3</f>
        <v>1</v>
      </c>
      <c r="K13" s="1007"/>
      <c r="L13" s="1007"/>
      <c r="M13" s="1008"/>
      <c r="N13" s="1006">
        <f>i_AbsorpInhalation4</f>
        <v>1</v>
      </c>
      <c r="O13" s="1007"/>
      <c r="P13" s="1007"/>
      <c r="Q13" s="1008"/>
      <c r="R13" s="223" t="s">
        <v>804</v>
      </c>
    </row>
    <row r="14" spans="1:18" ht="33" customHeight="1">
      <c r="A14" s="1106" t="str">
        <f>IF(i_CropType="Amenity grassland","Turf transferable residue (i_AppRate*d_Turf)","Dislodgeable foliar residue (i_AppRate*i_DFR)")&amp;" (μg a.s./cm²)"</f>
        <v>Dislodgeable foliar residue (i_AppRate*i_DFR) (μg a.s./cm²)</v>
      </c>
      <c r="B14" s="1110"/>
      <c r="C14" s="869">
        <f>IF(i_CropType="Amenity grassland",d_TTR1,d_DFR1)</f>
        <v>0</v>
      </c>
      <c r="D14" s="1002"/>
      <c r="E14" s="870"/>
      <c r="F14" s="869">
        <f>IF(i_CropType="Amenity grassland",d_TTR2,d_DFR2)</f>
        <v>0</v>
      </c>
      <c r="G14" s="1002"/>
      <c r="H14" s="1002"/>
      <c r="I14" s="870"/>
      <c r="J14" s="869">
        <f>IF(i_CropType="Amenity grassland",d_TTR3,d_DFR3)</f>
        <v>0</v>
      </c>
      <c r="K14" s="1002"/>
      <c r="L14" s="1002"/>
      <c r="M14" s="870"/>
      <c r="N14" s="869">
        <f>IF(i_CropType="Amenity grassland",d_TTR4,d_DFR4)</f>
        <v>0</v>
      </c>
      <c r="O14" s="1002"/>
      <c r="P14" s="1002"/>
      <c r="Q14" s="870"/>
      <c r="R14" s="223" t="str">
        <f>IF(LEFT(A14,4)="Turf","d_TTR","d_DFR")</f>
        <v>d_DFR</v>
      </c>
    </row>
    <row r="15" spans="1:18" ht="30.75" customHeight="1">
      <c r="A15" s="227" t="s">
        <v>806</v>
      </c>
      <c r="B15" s="241"/>
      <c r="C15" s="1020" t="str">
        <f>i_Volat1</f>
        <v>low volatile substances having a vapour pressure of &lt; 0.005 Pa</v>
      </c>
      <c r="D15" s="1021"/>
      <c r="E15" s="1022"/>
      <c r="F15" s="1020" t="str">
        <f>i_Volat2</f>
        <v>low volatile substances having a vapour pressure of &lt; 0.005 Pa</v>
      </c>
      <c r="G15" s="1021"/>
      <c r="H15" s="1021"/>
      <c r="I15" s="1022"/>
      <c r="J15" s="1020" t="str">
        <f>i_Volat3</f>
        <v>low volatile substances having a vapour pressure of &lt; 0.005 Pa</v>
      </c>
      <c r="K15" s="1021"/>
      <c r="L15" s="1021"/>
      <c r="M15" s="1022"/>
      <c r="N15" s="1020" t="str">
        <f>i_Volat4</f>
        <v>low volatile substances having a vapour pressure of &lt; 0.005 Pa</v>
      </c>
      <c r="O15" s="1021"/>
      <c r="P15" s="1021"/>
      <c r="Q15" s="1022"/>
      <c r="R15" s="223" t="s">
        <v>807</v>
      </c>
    </row>
    <row r="16" spans="1:18" ht="30.75" customHeight="1">
      <c r="A16" s="24" t="s">
        <v>528</v>
      </c>
      <c r="B16" s="259"/>
      <c r="C16" s="869" t="str">
        <f>d_SVC1</f>
        <v>N/A</v>
      </c>
      <c r="D16" s="1002"/>
      <c r="E16" s="870"/>
      <c r="F16" s="1020" t="str">
        <f>d_SVC2</f>
        <v>N/A</v>
      </c>
      <c r="G16" s="1021"/>
      <c r="H16" s="1021"/>
      <c r="I16" s="1022"/>
      <c r="J16" s="1020" t="str">
        <f>d_SVC3</f>
        <v>N/A</v>
      </c>
      <c r="K16" s="1021"/>
      <c r="L16" s="1021"/>
      <c r="M16" s="1022"/>
      <c r="N16" s="1020" t="str">
        <f>d_SVC4</f>
        <v>N/A</v>
      </c>
      <c r="O16" s="1021"/>
      <c r="P16" s="1021"/>
      <c r="Q16" s="1022"/>
      <c r="R16" s="260" t="s">
        <v>529</v>
      </c>
    </row>
    <row r="17" spans="1:21" ht="15.75" thickBot="1">
      <c r="A17" s="234" t="s">
        <v>808</v>
      </c>
      <c r="B17" s="242"/>
      <c r="C17" s="1101">
        <f>IF(i_VP1&gt;=0.01,d_SVC1,MIN(d_SVC1,IF(i_Volat1='Look up'!A23,d_AirConNonVol,d_AirConVol)))</f>
        <v>1E-3</v>
      </c>
      <c r="D17" s="1102"/>
      <c r="E17" s="1103"/>
      <c r="F17" s="1101">
        <f>IF(i_VP2&gt;=0.01,d_SVC2,MIN(d_SVC2,IF(i_Volat2='Look up'!A23,d_AirConNonVol,d_AirConVol)))</f>
        <v>1E-3</v>
      </c>
      <c r="G17" s="1102"/>
      <c r="H17" s="1102"/>
      <c r="I17" s="1103"/>
      <c r="J17" s="1101">
        <f>IF(i_VP3&gt;=0.01,d_SVC3,MIN(d_SVC3,IF(i_Volat3='Look up'!A23,d_AirConNonVol,d_AirConVol)))</f>
        <v>1E-3</v>
      </c>
      <c r="K17" s="1102"/>
      <c r="L17" s="1102"/>
      <c r="M17" s="1103"/>
      <c r="N17" s="1101">
        <f>IF(i_VP4&gt;=0.01,d_SVC4,MIN(d_SVC4,IF(i_Volat4='Look up'!A23,d_AirConNonVol,d_AirConVol)))</f>
        <v>1E-3</v>
      </c>
      <c r="O17" s="1102"/>
      <c r="P17" s="1102"/>
      <c r="Q17" s="1103"/>
      <c r="R17" s="225" t="s">
        <v>809</v>
      </c>
    </row>
    <row r="18" spans="1:21" ht="15" customHeight="1">
      <c r="A18" s="352" t="s">
        <v>836</v>
      </c>
      <c r="B18" s="353"/>
      <c r="C18" s="63" t="e">
        <f>IF(i_FormVal="Granules, fine granules","NA",INDEX(ay_BySpray, MATCH(i_AppMeth&amp;i_Buffer, key_BySpray, 0), 2))</f>
        <v>#N/A</v>
      </c>
      <c r="D18" s="62" t="s">
        <v>811</v>
      </c>
      <c r="E18" s="354"/>
    </row>
    <row r="19" spans="1:21" ht="15" customHeight="1">
      <c r="A19" s="65" t="s">
        <v>837</v>
      </c>
      <c r="B19" s="355"/>
      <c r="C19" s="677" t="e">
        <f>IF(i_FormVal="Granules, fine granules","NA",INDEX(ay_BySpray, MATCH(i_AppMeth&amp;i_Buffer, key_BySpray, 0), 3))</f>
        <v>#N/A</v>
      </c>
      <c r="D19" s="679" t="s">
        <v>811</v>
      </c>
      <c r="E19" s="74"/>
    </row>
    <row r="20" spans="1:21" ht="15" customHeight="1">
      <c r="A20" s="65" t="s">
        <v>838</v>
      </c>
      <c r="B20" s="355"/>
      <c r="C20" s="356" t="e">
        <f>IF(i_FormVal="Granules, fine granules","NA",INDEX(ay_BySpray, MATCH(i_AppMeth&amp;i_Buffer, key_BySpray, 0), 4))</f>
        <v>#N/A</v>
      </c>
      <c r="D20" s="679" t="s">
        <v>811</v>
      </c>
      <c r="E20" s="74"/>
    </row>
    <row r="21" spans="1:21">
      <c r="A21" s="65" t="s">
        <v>839</v>
      </c>
      <c r="B21" s="355"/>
      <c r="C21" s="356" t="e">
        <f>IF(i_FormVal="Granules, fine granules","NA",INDEX(ay_BySpray, MATCH(i_AppMeth&amp;i_Buffer, key_BySpray, 0), 5))</f>
        <v>#N/A</v>
      </c>
      <c r="D21" s="679" t="s">
        <v>811</v>
      </c>
      <c r="E21" s="74"/>
    </row>
    <row r="22" spans="1:21" ht="17.25" customHeight="1">
      <c r="A22" s="1108" t="s">
        <v>333</v>
      </c>
      <c r="B22" s="1109"/>
      <c r="C22" s="342">
        <f>Driftreduction</f>
        <v>0</v>
      </c>
      <c r="D22" s="679"/>
      <c r="E22" s="74"/>
    </row>
    <row r="23" spans="1:21" ht="15" customHeight="1" thickBot="1">
      <c r="A23" s="1176" t="s">
        <v>840</v>
      </c>
      <c r="B23" s="1176"/>
      <c r="C23" s="357" t="e" cm="1">
        <f t="array" ref="C23">IF(AND(i_FormVal="Granules, fine granules",i_AppMeth&lt;&gt;"In furrow application of granules"),0.03,IF(i_AppMeth="In furrow application of granules","NA",INDEX(ay_ByCropType,(MATCH(i_ByCropType&amp;i_Season&amp;i_Buffer,key_ByCropType,0)),2)))</f>
        <v>#N/A</v>
      </c>
      <c r="D23" s="358"/>
      <c r="E23" s="76"/>
    </row>
    <row r="24" spans="1:21" ht="15.75" thickBot="1">
      <c r="B24" s="43"/>
      <c r="C24" s="43"/>
    </row>
    <row r="25" spans="1:21" ht="33.75" customHeight="1">
      <c r="A25" s="248" t="s">
        <v>542</v>
      </c>
      <c r="B25" s="1095">
        <f>i_SubstName1</f>
        <v>0</v>
      </c>
      <c r="C25" s="1096"/>
      <c r="D25" s="1096"/>
      <c r="E25" s="1097"/>
      <c r="F25" s="1095">
        <f>i_SubstName2</f>
        <v>0</v>
      </c>
      <c r="G25" s="1096"/>
      <c r="H25" s="1096"/>
      <c r="I25" s="1097"/>
      <c r="J25" s="1095">
        <f>i_SubstName3</f>
        <v>0</v>
      </c>
      <c r="K25" s="1096"/>
      <c r="L25" s="1096"/>
      <c r="M25" s="1097"/>
      <c r="N25" s="1095">
        <f>i_SubstName4</f>
        <v>0</v>
      </c>
      <c r="O25" s="1096"/>
      <c r="P25" s="1096"/>
      <c r="Q25" s="1097"/>
      <c r="R25" s="1095" t="s">
        <v>370</v>
      </c>
      <c r="S25" s="1096"/>
      <c r="T25" s="1096"/>
      <c r="U25" s="1097"/>
    </row>
    <row r="26" spans="1:21" ht="33.75" customHeight="1">
      <c r="A26" s="246" t="s">
        <v>821</v>
      </c>
      <c r="B26" s="656" t="s">
        <v>390</v>
      </c>
      <c r="C26" s="641" t="s">
        <v>391</v>
      </c>
      <c r="D26" s="641" t="s">
        <v>392</v>
      </c>
      <c r="E26" s="653" t="s">
        <v>393</v>
      </c>
      <c r="F26" s="656" t="s">
        <v>390</v>
      </c>
      <c r="G26" s="641" t="s">
        <v>391</v>
      </c>
      <c r="H26" s="641" t="s">
        <v>392</v>
      </c>
      <c r="I26" s="653" t="s">
        <v>393</v>
      </c>
      <c r="J26" s="656" t="s">
        <v>390</v>
      </c>
      <c r="K26" s="641" t="s">
        <v>391</v>
      </c>
      <c r="L26" s="641" t="s">
        <v>392</v>
      </c>
      <c r="M26" s="653" t="s">
        <v>393</v>
      </c>
      <c r="N26" s="656" t="s">
        <v>390</v>
      </c>
      <c r="O26" s="641" t="s">
        <v>391</v>
      </c>
      <c r="P26" s="641" t="s">
        <v>392</v>
      </c>
      <c r="Q26" s="653" t="s">
        <v>393</v>
      </c>
      <c r="R26" s="656" t="s">
        <v>390</v>
      </c>
      <c r="S26" s="641" t="s">
        <v>391</v>
      </c>
      <c r="T26" s="641" t="s">
        <v>392</v>
      </c>
      <c r="U26" s="653" t="s">
        <v>393</v>
      </c>
    </row>
    <row r="27" spans="1:21" ht="33.75" customHeight="1">
      <c r="A27" s="250" t="s">
        <v>544</v>
      </c>
      <c r="B27" s="670" t="e">
        <f>B37</f>
        <v>#N/A</v>
      </c>
      <c r="C27" s="671">
        <f>B38</f>
        <v>8.0000000000000002E-3</v>
      </c>
      <c r="D27" s="671" t="e">
        <f>B40+B41+B42</f>
        <v>#N/A</v>
      </c>
      <c r="E27" s="673">
        <f>B44+B45+B46</f>
        <v>0</v>
      </c>
      <c r="F27" s="670" t="e">
        <f>F37</f>
        <v>#N/A</v>
      </c>
      <c r="G27" s="671">
        <f>F38</f>
        <v>8.0000000000000002E-3</v>
      </c>
      <c r="H27" s="671" t="e">
        <f>F40+F41+F42</f>
        <v>#N/A</v>
      </c>
      <c r="I27" s="673">
        <f>F44+F45+F46</f>
        <v>0</v>
      </c>
      <c r="J27" s="670" t="e">
        <f>J37</f>
        <v>#N/A</v>
      </c>
      <c r="K27" s="671">
        <f>J38</f>
        <v>8.0000000000000002E-3</v>
      </c>
      <c r="L27" s="671" t="e">
        <f>J40+J41+J42</f>
        <v>#N/A</v>
      </c>
      <c r="M27" s="673">
        <f>J44+J45+J46</f>
        <v>0</v>
      </c>
      <c r="N27" s="670" t="e">
        <f>N37</f>
        <v>#N/A</v>
      </c>
      <c r="O27" s="671">
        <f>N38</f>
        <v>8.0000000000000002E-3</v>
      </c>
      <c r="P27" s="671" t="e">
        <f>N40+N41+N42</f>
        <v>#N/A</v>
      </c>
      <c r="Q27" s="673">
        <f>N44+N45+N46</f>
        <v>0</v>
      </c>
      <c r="R27" s="1165" t="s">
        <v>371</v>
      </c>
      <c r="S27" s="1166"/>
      <c r="T27" s="1166"/>
      <c r="U27" s="1167"/>
    </row>
    <row r="28" spans="1:21" ht="33.75" customHeight="1">
      <c r="A28" s="250" t="s">
        <v>545</v>
      </c>
      <c r="B28" s="670">
        <f>D37</f>
        <v>0</v>
      </c>
      <c r="C28" s="671">
        <f>D38</f>
        <v>8.0000000000000004E-4</v>
      </c>
      <c r="D28" s="671" t="e">
        <f>D40+D41+D42</f>
        <v>#VALUE!</v>
      </c>
      <c r="E28" s="673">
        <f>D44+D45+D46</f>
        <v>0</v>
      </c>
      <c r="F28" s="670">
        <f>H37</f>
        <v>0</v>
      </c>
      <c r="G28" s="671">
        <f>H38</f>
        <v>8.0000000000000004E-4</v>
      </c>
      <c r="H28" s="671" t="e">
        <f>H40+H41+H42</f>
        <v>#VALUE!</v>
      </c>
      <c r="I28" s="673">
        <f>H44+H45+H46</f>
        <v>0</v>
      </c>
      <c r="J28" s="670">
        <f>L37</f>
        <v>0</v>
      </c>
      <c r="K28" s="671">
        <f>L38</f>
        <v>8.0000000000000004E-4</v>
      </c>
      <c r="L28" s="671" t="e">
        <f>L40+L41+L42</f>
        <v>#VALUE!</v>
      </c>
      <c r="M28" s="673">
        <f>L44+L45+L46</f>
        <v>0</v>
      </c>
      <c r="N28" s="670">
        <f>P37</f>
        <v>0</v>
      </c>
      <c r="O28" s="671">
        <f>P38</f>
        <v>8.0000000000000004E-4</v>
      </c>
      <c r="P28" s="671" t="e">
        <f>P40+P41+P42</f>
        <v>#VALUE!</v>
      </c>
      <c r="Q28" s="673">
        <f>P44+P45+P46</f>
        <v>0</v>
      </c>
      <c r="R28" s="1168"/>
      <c r="S28" s="1169"/>
      <c r="T28" s="1169"/>
      <c r="U28" s="1170"/>
    </row>
    <row r="29" spans="1:21" ht="33.75" customHeight="1">
      <c r="A29" s="729" t="s">
        <v>444</v>
      </c>
      <c r="B29" s="375">
        <f>IFERROR(B28/i_AAOEL1,0)</f>
        <v>0</v>
      </c>
      <c r="C29" s="378">
        <f>IFERROR(C28/i_AAOEL1,0)</f>
        <v>0</v>
      </c>
      <c r="D29" s="727">
        <f>IFERROR(D28/i_AAOEL1,0)</f>
        <v>0</v>
      </c>
      <c r="E29" s="726">
        <f>IFERROR(E28/i_AAOEL1,0)</f>
        <v>0</v>
      </c>
      <c r="F29" s="375">
        <f>IFERROR(F28/i_AAOEL2,0)</f>
        <v>0</v>
      </c>
      <c r="G29" s="378">
        <f>IFERROR(G28/i_AAOEL2,0)</f>
        <v>0</v>
      </c>
      <c r="H29" s="378">
        <f>IFERROR(H28/i_AAOEL2,0)</f>
        <v>0</v>
      </c>
      <c r="I29" s="376">
        <f>IFERROR(I28/i_AAOEL2,0)</f>
        <v>0</v>
      </c>
      <c r="J29" s="375">
        <f>IFERROR(J28/i_AAOEL3,0)</f>
        <v>0</v>
      </c>
      <c r="K29" s="378">
        <f>IFERROR(K28/i_AAOEL3,0)</f>
        <v>0</v>
      </c>
      <c r="L29" s="378">
        <f>IFERROR(L28/i_AAOEL3,0)</f>
        <v>0</v>
      </c>
      <c r="M29" s="376">
        <f>IFERROR(M28/i_AAOEL3,0)</f>
        <v>0</v>
      </c>
      <c r="N29" s="375">
        <f>IFERROR(N28/i_AAOEL4,0)</f>
        <v>0</v>
      </c>
      <c r="O29" s="378">
        <f>IFERROR(O28/i_AAOEL4,0)</f>
        <v>0</v>
      </c>
      <c r="P29" s="378">
        <f>IFERROR(P28/i_AAOEL4,0)</f>
        <v>0</v>
      </c>
      <c r="Q29" s="376">
        <f>IFERROR(Q28/i_AAOEL4,0)</f>
        <v>0</v>
      </c>
      <c r="R29" s="375" t="str">
        <f>IF(COUNTA('Data entry'!D27:G27)&lt;2,"N/A",FIXED(B29+F29+J29+N29,3))</f>
        <v>N/A</v>
      </c>
      <c r="S29" s="378" t="str">
        <f>IF(COUNTA('Data entry'!D27:G27)&lt;2,"N/A",FIXED(C29+G29+K29+O29,3))</f>
        <v>N/A</v>
      </c>
      <c r="T29" s="378" t="str">
        <f>IF(COUNTA('Data entry'!D27:G27)&lt;2,"N/A",FIXED(D29+H29+L29+P29,3))</f>
        <v>N/A</v>
      </c>
      <c r="U29" s="726" t="str">
        <f>IF(COUNTA('Data entry'!D27:G27)&lt;2,"N/A",FIXED(E29+I29+M29+Q29,3))</f>
        <v>N/A</v>
      </c>
    </row>
    <row r="30" spans="1:21" ht="33.75" customHeight="1">
      <c r="A30" s="728" t="s">
        <v>823</v>
      </c>
      <c r="B30" s="712" t="s">
        <v>390</v>
      </c>
      <c r="C30" s="713" t="s">
        <v>391</v>
      </c>
      <c r="D30" s="713" t="s">
        <v>392</v>
      </c>
      <c r="E30" s="714" t="s">
        <v>393</v>
      </c>
      <c r="F30" s="712" t="s">
        <v>390</v>
      </c>
      <c r="G30" s="713" t="s">
        <v>391</v>
      </c>
      <c r="H30" s="713" t="s">
        <v>392</v>
      </c>
      <c r="I30" s="714" t="s">
        <v>393</v>
      </c>
      <c r="J30" s="712" t="s">
        <v>390</v>
      </c>
      <c r="K30" s="713" t="s">
        <v>391</v>
      </c>
      <c r="L30" s="713" t="s">
        <v>392</v>
      </c>
      <c r="M30" s="714" t="s">
        <v>393</v>
      </c>
      <c r="N30" s="712" t="s">
        <v>390</v>
      </c>
      <c r="O30" s="713" t="s">
        <v>391</v>
      </c>
      <c r="P30" s="713" t="s">
        <v>392</v>
      </c>
      <c r="Q30" s="714" t="s">
        <v>393</v>
      </c>
      <c r="R30" s="712" t="s">
        <v>390</v>
      </c>
      <c r="S30" s="713" t="s">
        <v>391</v>
      </c>
      <c r="T30" s="713" t="s">
        <v>392</v>
      </c>
      <c r="U30" s="714" t="s">
        <v>393</v>
      </c>
    </row>
    <row r="31" spans="1:21" ht="33.75" customHeight="1">
      <c r="A31" s="250" t="s">
        <v>544</v>
      </c>
      <c r="B31" s="670" t="e">
        <f>B48</f>
        <v>#N/A</v>
      </c>
      <c r="C31" s="671">
        <f>B49</f>
        <v>1.6199999999999999E-2</v>
      </c>
      <c r="D31" s="671" t="e">
        <f>B50</f>
        <v>#N/A</v>
      </c>
      <c r="E31" s="673">
        <f>B51</f>
        <v>0</v>
      </c>
      <c r="F31" s="670" t="e">
        <f>F48</f>
        <v>#N/A</v>
      </c>
      <c r="G31" s="671">
        <f>F49</f>
        <v>1.6199999999999999E-2</v>
      </c>
      <c r="H31" s="671" t="e">
        <f>F50</f>
        <v>#N/A</v>
      </c>
      <c r="I31" s="673">
        <f>F51</f>
        <v>0</v>
      </c>
      <c r="J31" s="670" t="e">
        <f>J48</f>
        <v>#N/A</v>
      </c>
      <c r="K31" s="671">
        <f>J49</f>
        <v>1.6199999999999999E-2</v>
      </c>
      <c r="L31" s="671" t="e">
        <f>J50</f>
        <v>#N/A</v>
      </c>
      <c r="M31" s="673">
        <f>J51</f>
        <v>0</v>
      </c>
      <c r="N31" s="670" t="e">
        <f>N48</f>
        <v>#N/A</v>
      </c>
      <c r="O31" s="671">
        <f>N49</f>
        <v>1.6199999999999999E-2</v>
      </c>
      <c r="P31" s="671" t="e">
        <f>N50</f>
        <v>#N/A</v>
      </c>
      <c r="Q31" s="673">
        <f>N51</f>
        <v>0</v>
      </c>
      <c r="R31" s="1165" t="s">
        <v>371</v>
      </c>
      <c r="S31" s="1166"/>
      <c r="T31" s="1166"/>
      <c r="U31" s="1167"/>
    </row>
    <row r="32" spans="1:21" ht="33.75" customHeight="1">
      <c r="A32" s="250" t="s">
        <v>545</v>
      </c>
      <c r="B32" s="670">
        <f>D48</f>
        <v>0</v>
      </c>
      <c r="C32" s="671">
        <f>D49</f>
        <v>2.7E-4</v>
      </c>
      <c r="D32" s="671" t="str">
        <f>D50</f>
        <v/>
      </c>
      <c r="E32" s="673">
        <f>D51</f>
        <v>0</v>
      </c>
      <c r="F32" s="670">
        <f>H48</f>
        <v>0</v>
      </c>
      <c r="G32" s="671">
        <f>H49</f>
        <v>2.7E-4</v>
      </c>
      <c r="H32" s="671" t="str">
        <f>H50</f>
        <v/>
      </c>
      <c r="I32" s="673">
        <f>H51</f>
        <v>0</v>
      </c>
      <c r="J32" s="670">
        <f>L48</f>
        <v>0</v>
      </c>
      <c r="K32" s="671">
        <f>L49</f>
        <v>2.7E-4</v>
      </c>
      <c r="L32" s="671" t="str">
        <f>L50</f>
        <v/>
      </c>
      <c r="M32" s="673">
        <f>L51</f>
        <v>0</v>
      </c>
      <c r="N32" s="670">
        <f>P48</f>
        <v>0</v>
      </c>
      <c r="O32" s="671">
        <f>P49</f>
        <v>2.7E-4</v>
      </c>
      <c r="P32" s="671" t="str">
        <f>P50</f>
        <v/>
      </c>
      <c r="Q32" s="673">
        <f>P51</f>
        <v>0</v>
      </c>
      <c r="R32" s="1168"/>
      <c r="S32" s="1169"/>
      <c r="T32" s="1169"/>
      <c r="U32" s="1170"/>
    </row>
    <row r="33" spans="1:21" ht="33.75" customHeight="1" thickBot="1">
      <c r="A33" s="719" t="s">
        <v>444</v>
      </c>
      <c r="B33" s="373">
        <f>IFERROR(B32/i_AAOEL1,0)</f>
        <v>0</v>
      </c>
      <c r="C33" s="377">
        <f>IFERROR(C32/i_AAOEL1,0)</f>
        <v>0</v>
      </c>
      <c r="D33" s="575">
        <f>IFERROR(D32/i_AAOEL1,0)</f>
        <v>0</v>
      </c>
      <c r="E33" s="374">
        <f>IFERROR(E32/i_AAOEL1,0)</f>
        <v>0</v>
      </c>
      <c r="F33" s="373">
        <f>IFERROR(F32/i_AAOEL2,0)</f>
        <v>0</v>
      </c>
      <c r="G33" s="377">
        <f>IFERROR(G32/i_AAOEL2,0)</f>
        <v>0</v>
      </c>
      <c r="H33" s="377">
        <f>IFERROR(H32/i_AAOEL2,0)</f>
        <v>0</v>
      </c>
      <c r="I33" s="374">
        <f>IFERROR(I32/i_AAOEL2,0)</f>
        <v>0</v>
      </c>
      <c r="J33" s="373">
        <f>IFERROR(J32/i_AAOEL3,0)</f>
        <v>0</v>
      </c>
      <c r="K33" s="377">
        <f>IFERROR(K32/i_AAOEL3,0)</f>
        <v>0</v>
      </c>
      <c r="L33" s="377">
        <f>IFERROR(L32/i_AAOEL3,0)</f>
        <v>0</v>
      </c>
      <c r="M33" s="374">
        <f>IFERROR(M32/i_AAOEL3,0)</f>
        <v>0</v>
      </c>
      <c r="N33" s="373">
        <f>IFERROR(N32/i_AAOEL4,0)</f>
        <v>0</v>
      </c>
      <c r="O33" s="377">
        <f>IFERROR(O32/i_AAOEL4,0)</f>
        <v>0</v>
      </c>
      <c r="P33" s="377">
        <f>IFERROR(P32/i_AAOEL4,0)</f>
        <v>0</v>
      </c>
      <c r="Q33" s="374">
        <f>IFERROR(Q32/i_AAOEL4,0)</f>
        <v>0</v>
      </c>
      <c r="R33" s="373" t="str">
        <f>IF(COUNTA('Data entry'!D27:G27)&lt;2,"N/A",FIXED(B33+F33+J33+N33,3))</f>
        <v>N/A</v>
      </c>
      <c r="S33" s="377" t="str">
        <f>IF(COUNTA('Data entry'!D27:G27)&lt;2,"N/A",FIXED(C33+G33+K33+O33,3))</f>
        <v>N/A</v>
      </c>
      <c r="T33" s="377" t="str">
        <f>IF(COUNTA('Data entry'!D27:G27)&lt;2,"N/A",FIXED(D33+H33+L33+P33,3))</f>
        <v>N/A</v>
      </c>
      <c r="U33" s="720" t="str">
        <f>IF(COUNTA('Data entry'!D27:G27)&lt;2,"N/A",FIXED(E33+I33+M33+Q33,3))</f>
        <v>N/A</v>
      </c>
    </row>
    <row r="34" spans="1:21" ht="33.75" customHeight="1" thickBot="1">
      <c r="A34" s="69"/>
      <c r="B34" s="69"/>
      <c r="C34" s="77"/>
      <c r="D34" s="77"/>
      <c r="E34" s="77"/>
      <c r="F34" s="77"/>
    </row>
    <row r="35" spans="1:21" ht="15.75" thickBot="1">
      <c r="A35" s="243" t="s">
        <v>546</v>
      </c>
      <c r="B35" s="1080">
        <f>i_SubstName1</f>
        <v>0</v>
      </c>
      <c r="C35" s="1081"/>
      <c r="D35" s="1081"/>
      <c r="E35" s="1082"/>
      <c r="F35" s="1080">
        <f>i_SubstName2</f>
        <v>0</v>
      </c>
      <c r="G35" s="1081"/>
      <c r="H35" s="1081"/>
      <c r="I35" s="1082"/>
      <c r="J35" s="1080">
        <f>i_SubstName3</f>
        <v>0</v>
      </c>
      <c r="K35" s="1081"/>
      <c r="L35" s="1081"/>
      <c r="M35" s="1082"/>
      <c r="N35" s="1080">
        <f>i_SubstName4</f>
        <v>0</v>
      </c>
      <c r="O35" s="1081"/>
      <c r="P35" s="1081"/>
      <c r="Q35" s="1082"/>
      <c r="R35" s="1159" t="s">
        <v>543</v>
      </c>
      <c r="S35" s="1160"/>
      <c r="T35" s="1161"/>
    </row>
    <row r="36" spans="1:21" ht="15" customHeight="1">
      <c r="A36" s="718" t="s">
        <v>821</v>
      </c>
      <c r="B36" s="1069" t="s">
        <v>825</v>
      </c>
      <c r="C36" s="1070"/>
      <c r="D36" s="840" t="s">
        <v>448</v>
      </c>
      <c r="E36" s="1088"/>
      <c r="F36" s="1069" t="s">
        <v>825</v>
      </c>
      <c r="G36" s="1070"/>
      <c r="H36" s="840" t="s">
        <v>448</v>
      </c>
      <c r="I36" s="1088"/>
      <c r="J36" s="1069" t="s">
        <v>825</v>
      </c>
      <c r="K36" s="1070"/>
      <c r="L36" s="840" t="s">
        <v>448</v>
      </c>
      <c r="M36" s="1088"/>
      <c r="N36" s="1069" t="s">
        <v>825</v>
      </c>
      <c r="O36" s="1070"/>
      <c r="P36" s="840" t="s">
        <v>448</v>
      </c>
      <c r="Q36" s="1088"/>
      <c r="R36" s="1162"/>
      <c r="S36" s="1163"/>
      <c r="T36" s="1164"/>
    </row>
    <row r="37" spans="1:21" ht="56.25" customHeight="1">
      <c r="A37" s="245" t="s">
        <v>826</v>
      </c>
      <c r="B37" s="1147" t="e">
        <f>IF(i_FormVal="Granules, fine granules",0,(($C19*i_AbsorpInuse1*(1-d_ClothAF))+$C21)*d_ConcAs1*(1-Driftreduction))</f>
        <v>#N/A</v>
      </c>
      <c r="C37" s="1148"/>
      <c r="D37" s="1148">
        <f>IF(ISNUMBER(B37),B37/d_BwChild,0)</f>
        <v>0</v>
      </c>
      <c r="E37" s="1149"/>
      <c r="F37" s="1147" t="e">
        <f>IF(i_FormVal="Granules, fine granules",0,(($C19*i_AbsorpInuse2*(1-d_ClothAF))+$C21)*d_ConcAs2*(1-Driftreduction))</f>
        <v>#N/A</v>
      </c>
      <c r="G37" s="1148"/>
      <c r="H37" s="1148">
        <f>IF(ISNUMBER(F37),F37/d_BwChild,0)</f>
        <v>0</v>
      </c>
      <c r="I37" s="1149"/>
      <c r="J37" s="1147" t="e">
        <f>IF(i_FormVal="Granules, fine granules",0,(($C19*i_AbsorpInuse3*(1-d_ClothAF))+$C21)*d_ConcAs3*(1-Driftreduction))</f>
        <v>#N/A</v>
      </c>
      <c r="K37" s="1148"/>
      <c r="L37" s="1148">
        <f>IF(ISNUMBER(J37),J37/d_BwChild,0)</f>
        <v>0</v>
      </c>
      <c r="M37" s="1149"/>
      <c r="N37" s="1147" t="e">
        <f>IF(i_FormVal="Granules, fine granules",0,(($C19*i_AbsorpInuse4*(1-d_ClothAF))+$C21)*d_ConcAs4*(1-Driftreduction))</f>
        <v>#N/A</v>
      </c>
      <c r="O37" s="1148"/>
      <c r="P37" s="1148">
        <f>IF(ISNUMBER(N37),N37/d_BwChild,0)</f>
        <v>0</v>
      </c>
      <c r="Q37" s="1104"/>
      <c r="R37" s="1156" t="str">
        <f>IF(i_FormVal="Granules, fine granules", "NA for application of granules",IF(i_AppMeth="Upward spraying","the only available values are for the 8 m distance downwind from the middle of the tree trunk, which are assumed to represent 5 m distance from the edge of orchard; the same value is used for 5 and 10 m. ",IF(Driftreduction = 0.5,"Since drift reducing nozzles are selected a 50% reduction factor has been applied","")))</f>
        <v/>
      </c>
      <c r="S37" s="1157"/>
      <c r="T37" s="1158"/>
    </row>
    <row r="38" spans="1:21">
      <c r="A38" s="245" t="s">
        <v>827</v>
      </c>
      <c r="B38" s="1147">
        <f>i_AbsorpInhalation1*d_AirCon1*d_BreathRCh*d_BwChild</f>
        <v>8.0000000000000002E-3</v>
      </c>
      <c r="C38" s="1148"/>
      <c r="D38" s="1148">
        <f t="shared" ref="D38:D43" si="0">IF(ISNUMBER(B38),B38/d_BwChild,"")</f>
        <v>8.0000000000000004E-4</v>
      </c>
      <c r="E38" s="1149"/>
      <c r="F38" s="1147">
        <f>i_AbsorpInhalation2*d_AirCon2*d_BreathRCh*d_BwChild</f>
        <v>8.0000000000000002E-3</v>
      </c>
      <c r="G38" s="1148"/>
      <c r="H38" s="1148">
        <f t="shared" ref="H38:H43" si="1">IF(ISNUMBER(F38),F38/d_BwChild,"")</f>
        <v>8.0000000000000004E-4</v>
      </c>
      <c r="I38" s="1149"/>
      <c r="J38" s="1147">
        <f>i_AbsorpInhalation3*d_AirCon3*d_BreathRCh*d_BwChild</f>
        <v>8.0000000000000002E-3</v>
      </c>
      <c r="K38" s="1148"/>
      <c r="L38" s="1148">
        <f t="shared" ref="L38:L43" si="2">IF(ISNUMBER(J38),J38/d_BwChild,"")</f>
        <v>8.0000000000000004E-4</v>
      </c>
      <c r="M38" s="1149"/>
      <c r="N38" s="1147">
        <f>i_AbsorpInhalation4*d_AirCon4*d_BreathRCh*d_BwChild</f>
        <v>8.0000000000000002E-3</v>
      </c>
      <c r="O38" s="1148"/>
      <c r="P38" s="1148">
        <f t="shared" ref="P38:P43" si="3">IF(ISNUMBER(N38),N38/d_BwChild,"")</f>
        <v>8.0000000000000004E-4</v>
      </c>
      <c r="Q38" s="1104"/>
      <c r="R38" s="1156"/>
      <c r="S38" s="1157"/>
      <c r="T38" s="1158"/>
    </row>
    <row r="39" spans="1:21">
      <c r="A39" s="245" t="s">
        <v>828</v>
      </c>
      <c r="B39" s="1147"/>
      <c r="C39" s="1148"/>
      <c r="D39" s="1148" t="str">
        <f t="shared" si="0"/>
        <v/>
      </c>
      <c r="E39" s="1149"/>
      <c r="F39" s="1147"/>
      <c r="G39" s="1148"/>
      <c r="H39" s="1148" t="str">
        <f t="shared" si="1"/>
        <v/>
      </c>
      <c r="I39" s="1149"/>
      <c r="J39" s="1147"/>
      <c r="K39" s="1148"/>
      <c r="L39" s="1148" t="str">
        <f t="shared" si="2"/>
        <v/>
      </c>
      <c r="M39" s="1149"/>
      <c r="N39" s="1147"/>
      <c r="O39" s="1148"/>
      <c r="P39" s="1148" t="str">
        <f t="shared" si="3"/>
        <v/>
      </c>
      <c r="Q39" s="1104"/>
      <c r="R39" s="1156"/>
      <c r="S39" s="1157"/>
      <c r="T39" s="1158"/>
    </row>
    <row r="40" spans="1:21">
      <c r="A40" s="247" t="s">
        <v>829</v>
      </c>
      <c r="B40" s="1147" t="e">
        <f>IF(i_AppMeth="In furrow application of granules", "",(d_TTR1/1000)*$C23*d_ByTCCh*d_ByExpDur*MAX(i_AbsorpProduct1,i_AbsorpInuse1)*d_MAF1*(1-Driftreduction))</f>
        <v>#N/A</v>
      </c>
      <c r="C40" s="1148"/>
      <c r="D40" s="1148" t="str">
        <f t="shared" si="0"/>
        <v/>
      </c>
      <c r="E40" s="1149"/>
      <c r="F40" s="1147" t="e">
        <f>IF(i_AppMeth="In furrow application of granules", "",(d_TTR2/1000)*$C23*d_ByTCCh*d_ByExpDur*MAX(i_AbsorpProduct2,i_AbsorpInuse2)*d_MAF2*(1-Driftreduction))</f>
        <v>#N/A</v>
      </c>
      <c r="G40" s="1148"/>
      <c r="H40" s="1148" t="str">
        <f t="shared" si="1"/>
        <v/>
      </c>
      <c r="I40" s="1149"/>
      <c r="J40" s="1147" t="e">
        <f>IF(i_AppMeth="In furrow application of granules", "",(d_TTR3/1000)*$C23*d_ByTCCh*d_ByExpDur*MAX(i_AbsorpProduct3,i_AbsorpInuse3)*d_MAF3*(1-Driftreduction))</f>
        <v>#N/A</v>
      </c>
      <c r="K40" s="1148"/>
      <c r="L40" s="1148" t="str">
        <f t="shared" si="2"/>
        <v/>
      </c>
      <c r="M40" s="1149"/>
      <c r="N40" s="1147" t="e">
        <f>IF(i_AppMeth="In furrow application of granules", "",(d_TTR4/1000)*$C23*d_ByTCCh*d_ByExpDur*MAX(i_AbsorpProduct4,i_AbsorpInuse4)*d_MAF4*(1-Driftreduction))</f>
        <v>#N/A</v>
      </c>
      <c r="O40" s="1148"/>
      <c r="P40" s="1148" t="str">
        <f t="shared" si="3"/>
        <v/>
      </c>
      <c r="Q40" s="1104"/>
      <c r="R40" s="1156" t="str">
        <f>IF(Driftreduction = 0.5,"Since drift reducing nozzles are selected a 50% reduction factor has been applied","")</f>
        <v/>
      </c>
      <c r="S40" s="1157"/>
      <c r="T40" s="1158"/>
    </row>
    <row r="41" spans="1:21">
      <c r="A41" s="247" t="s">
        <v>830</v>
      </c>
      <c r="B41" s="1147" t="e">
        <f>IF(i_AppMeth="In furrow application of granules","",(d_TTR1/1000)*$C23*d_SalExt*d_AreaHM*d_ByFreqHM*d_ByExpDur*i_AbsorpOralInuse1*d_MAF1*(1-Driftreduction))</f>
        <v>#N/A</v>
      </c>
      <c r="C41" s="1148"/>
      <c r="D41" s="1148" t="str">
        <f t="shared" si="0"/>
        <v/>
      </c>
      <c r="E41" s="1149"/>
      <c r="F41" s="1147" t="e">
        <f>IF(i_AppMeth="In furrow application of granules","",(i_AppRateAS2/100)*$C23*d_Turf*d_SalExt*d_AreaHM*d_ByFreqHM*d_ByExpDur*i_AbsorpOralInuse2*d_MAF2*(1-Driftreduction))</f>
        <v>#N/A</v>
      </c>
      <c r="G41" s="1148"/>
      <c r="H41" s="1148" t="str">
        <f t="shared" si="1"/>
        <v/>
      </c>
      <c r="I41" s="1149"/>
      <c r="J41" s="1147" t="e">
        <f>IF(i_AppMeth="In furrow application of granules","",(i_AppRateAS3/100)*$C23*d_Turf*d_SalExt*d_AreaHM*d_ByFreqHM*d_ByExpDur*i_AbsorpOralInuse3*d_MAF3*(1-Driftreduction))</f>
        <v>#N/A</v>
      </c>
      <c r="K41" s="1148"/>
      <c r="L41" s="1148" t="str">
        <f t="shared" si="2"/>
        <v/>
      </c>
      <c r="M41" s="1149"/>
      <c r="N41" s="1147" t="e">
        <f>IF(i_AppMeth="In furrow application of granules","",(i_AppRateAS4/100)*$C23*d_Turf*d_SalExt*d_AreaHM*d_ByFreqHM*d_ByExpDur*i_AbsorpOralInuse4*d_MAF4*(1-Driftreduction))</f>
        <v>#N/A</v>
      </c>
      <c r="O41" s="1148"/>
      <c r="P41" s="1148" t="str">
        <f t="shared" si="3"/>
        <v/>
      </c>
      <c r="Q41" s="1104"/>
      <c r="R41" s="1156" t="str">
        <f>IF(Driftreduction = 0.5,"Since drift reducing nozzles are selected a 50% reduction factor has been applied","")</f>
        <v/>
      </c>
      <c r="S41" s="1157"/>
      <c r="T41" s="1158"/>
    </row>
    <row r="42" spans="1:21">
      <c r="A42" s="247" t="s">
        <v>831</v>
      </c>
      <c r="B42" s="1147" t="e">
        <f>IF(i_AppMeth="In furrow application of granules","",(i_AppRateAS1/100)*$C23*d_DRP*d_MouthGrass*i_AbsorpOralInuse1*d_MAF1*(1-Driftreduction))</f>
        <v>#N/A</v>
      </c>
      <c r="C42" s="1148"/>
      <c r="D42" s="1148" t="str">
        <f t="shared" si="0"/>
        <v/>
      </c>
      <c r="E42" s="1149"/>
      <c r="F42" s="1147" t="e">
        <f>IF(i_AppMeth="In furrow application of granules","",(i_AppRateAS2/100)*$C23*d_DRP*d_MouthGrass*i_AbsorpOralInuse2*d_MAF2*(1-Driftreduction))</f>
        <v>#N/A</v>
      </c>
      <c r="G42" s="1148"/>
      <c r="H42" s="1148" t="str">
        <f t="shared" si="1"/>
        <v/>
      </c>
      <c r="I42" s="1149"/>
      <c r="J42" s="1147" t="e">
        <f>IF(i_AppMeth="In furrow application of granules","",(i_AppRateAS3/100)*$C23*d_DRP*d_MouthGrass*i_AbsorpOralInuse3*d_MAF3*(1-Driftreduction))</f>
        <v>#N/A</v>
      </c>
      <c r="K42" s="1148"/>
      <c r="L42" s="1148" t="str">
        <f t="shared" si="2"/>
        <v/>
      </c>
      <c r="M42" s="1149"/>
      <c r="N42" s="1147" t="e">
        <f>IF(i_AppMeth="In furrow application of granules","",(i_AppRateAS4/100)*$C23*d_DRP*d_MouthGrass*i_AbsorpOralInuse4*d_MAF4*(1-Driftreduction))</f>
        <v>#N/A</v>
      </c>
      <c r="O42" s="1148"/>
      <c r="P42" s="1148" t="str">
        <f t="shared" si="3"/>
        <v/>
      </c>
      <c r="Q42" s="1104"/>
      <c r="R42" s="1156" t="str">
        <f>IF(Driftreduction = 0.5,"Since drift reducing nozzles are selected a 50% reduction factor has been applied","")</f>
        <v/>
      </c>
      <c r="S42" s="1157"/>
      <c r="T42" s="1158"/>
    </row>
    <row r="43" spans="1:21">
      <c r="A43" s="245" t="s">
        <v>832</v>
      </c>
      <c r="B43" s="1152"/>
      <c r="C43" s="1150"/>
      <c r="D43" s="1150" t="str">
        <f t="shared" si="0"/>
        <v/>
      </c>
      <c r="E43" s="1151"/>
      <c r="F43" s="1152"/>
      <c r="G43" s="1150"/>
      <c r="H43" s="1150" t="str">
        <f t="shared" si="1"/>
        <v/>
      </c>
      <c r="I43" s="1151"/>
      <c r="J43" s="1152"/>
      <c r="K43" s="1150"/>
      <c r="L43" s="1150" t="str">
        <f t="shared" si="2"/>
        <v/>
      </c>
      <c r="M43" s="1151"/>
      <c r="N43" s="1152"/>
      <c r="O43" s="1150"/>
      <c r="P43" s="1150" t="str">
        <f t="shared" si="3"/>
        <v/>
      </c>
      <c r="Q43" s="1049"/>
      <c r="R43" s="1156"/>
      <c r="S43" s="1157"/>
      <c r="T43" s="1158"/>
    </row>
    <row r="44" spans="1:21">
      <c r="A44" s="247" t="s">
        <v>829</v>
      </c>
      <c r="B44" s="1147" cm="1">
        <f t="array" ref="B44">IF(OR(i_FormVal="Granules, fine granules",OR(AND(i_IndoorOutdoor="Outdoor",$E$5="No"),AND(i_IndoorOutdoor&lt;&gt;"Outdoor",$E$4="No"))),0,IF(i_CropType="Amenity grassland",(d_TTR1/1000)*d_MAF1*d_ByTCCh*d_ExpDurTreatCrop*MAX(i_AbsorpProduct1,i_AbsorpInuse1),IF(LEFT(i_CropType,4)="Bare",ConcSoil1*skinAdhSoil*d_HandSurface*i_AbsorpInuse1,(d_TcEntryCh*0.25*d_DFR1*d_MAF1)/1000*MAX(i_AbsorpProduct1,i_AbsorpInuse1))))</f>
        <v>0</v>
      </c>
      <c r="C44" s="1148"/>
      <c r="D44" s="1148">
        <f>IF(ISNUMBER(B44),B44/d_BwChild,0)</f>
        <v>0</v>
      </c>
      <c r="E44" s="1149"/>
      <c r="F44" s="1147" cm="1">
        <f t="array" ref="F44">IF(OR(i_FormVal="Granules, fine granules",OR(AND(i_IndoorOutdoor="Outdoor",$E$5="No"),AND(i_IndoorOutdoor&lt;&gt;"Outdoor",$E$4="No"))),0,IF(i_CropType="Amenity grassland",(d_TTR2/1000)*d_MAF2*d_ByTCCh*d_ExpDurTreatCrop*MAX(i_AbsorpProduct2,i_AbsorpInuse2),IF(LEFT(i_CropType,4)="Bare",ConcSoil2*skinAdhSoil*d_HandSurface*i_AbsorpInuse2,(d_TcEntryCh*0.25*d_DFR2*d_MAF2)/1000*MAX(i_AbsorpProduct2,i_AbsorpInuse2))))</f>
        <v>0</v>
      </c>
      <c r="G44" s="1148"/>
      <c r="H44" s="1148">
        <f>IF(ISNUMBER(F44),F44/d_BwChild,0)</f>
        <v>0</v>
      </c>
      <c r="I44" s="1149"/>
      <c r="J44" s="1147" cm="1">
        <f t="array" ref="J44">IF(OR(i_FormVal="Granules, fine granules",OR(AND(i_IndoorOutdoor="Outdoor",$E$5="No"),AND(i_IndoorOutdoor&lt;&gt;"Outdoor",$E$4="No"))),0,IF(i_CropType="Amenity grassland",(d_TTR3/1000)*d_MAF3*d_ByTCCh*d_ExpDurTreatCrop*MAX(i_AbsorpProduct3,i_AbsorpInuse3),IF(LEFT(i_CropType,4)="Bare",ConcSoil3*skinAdhSoil*d_HandSurface*i_AbsorpInuse3,(d_TcEntryCh*0.25*d_DFR3*d_MAF3)/1000*MAX(i_AbsorpProduct3,i_AbsorpInuse3))))</f>
        <v>0</v>
      </c>
      <c r="K44" s="1148"/>
      <c r="L44" s="1148">
        <f>IF(ISNUMBER(J44),J44/d_BwChild,0)</f>
        <v>0</v>
      </c>
      <c r="M44" s="1149"/>
      <c r="N44" s="1147" cm="1">
        <f t="array" ref="N44">IF(OR(i_FormVal="Granules, fine granules",OR(AND(i_IndoorOutdoor="Outdoor",$E$5="No"),AND(i_IndoorOutdoor&lt;&gt;"Outdoor",$E$4="No"))),0,IF(i_CropType="Amenity grassland",(d_TTR4/1000)*d_MAF4*d_ByTCCh*d_ExpDurTreatCrop*MAX(i_AbsorpProduct4,i_AbsorpInuse4),IF(LEFT(i_CropType,4)="Bare",ConcSoil4*skinAdhSoil*d_HandSurface*i_AbsorpInuse4,(d_TcEntryCh*0.25*d_DFR4*d_MAF4)/1000*MAX(i_AbsorpProduct4,i_AbsorpInuse4))))</f>
        <v>0</v>
      </c>
      <c r="O44" s="1148"/>
      <c r="P44" s="1148">
        <f>IF(ISNUMBER(N44),N44/d_BwChild,0)</f>
        <v>0</v>
      </c>
      <c r="Q44" s="1104"/>
      <c r="R44" s="1156" t="str">
        <f>IF(i_FormVal="Granules, fine granules","NA for application of granules since calculation is same as for worker exposure and have no worker exposure for application of granules","")</f>
        <v/>
      </c>
      <c r="S44" s="1157"/>
      <c r="T44" s="1158"/>
    </row>
    <row r="45" spans="1:21">
      <c r="A45" s="247" t="s">
        <v>830</v>
      </c>
      <c r="B45" s="1147" cm="1">
        <f t="array" ref="B45">IF(OR(i_FormVal="Granules, fine granules",OR(AND(i_IndoorOutdoor="Outdoor",$E$5="No"),AND(i_IndoorOutdoor&lt;&gt;"Outdoor",$E$4="No"))),0,IF(i_CropType="Amenity grassland",(d_TTR1/1000)*d_MAF1*d_SalExt*d_AreaHM*d_ByFreqHM*d_ExpDurTreatCrop*i_AbsorpOralInuse1,0))</f>
        <v>0</v>
      </c>
      <c r="C45" s="1148"/>
      <c r="D45" s="1148">
        <f>IF(ISNUMBER(B45),B45/d_BwChild,0)</f>
        <v>0</v>
      </c>
      <c r="E45" s="1149"/>
      <c r="F45" s="1147" cm="1">
        <f t="array" ref="F45">IF(OR(i_FormVal="Granules, fine granules",OR(AND(i_IndoorOutdoor="Outdoor",$E$5="No"),AND(i_IndoorOutdoor&lt;&gt;"Outdoor",$E$4="No"))),0,IF(i_CropType="Amenity grassland",(d_TTR2/1000)*d_MAF2*d_SalExt*d_AreaHM*d_ByFreqHM*d_ExpDurTreatCrop*i_AbsorpOralInuse2,0))</f>
        <v>0</v>
      </c>
      <c r="G45" s="1148"/>
      <c r="H45" s="1148">
        <f>IF(ISNUMBER(F45),F45/d_BwChild,0)</f>
        <v>0</v>
      </c>
      <c r="I45" s="1149"/>
      <c r="J45" s="1147" cm="1">
        <f t="array" ref="J45">IF(OR(i_FormVal="Granules, fine granules",OR(AND(i_IndoorOutdoor="Outdoor",$E$5="No"),AND(i_IndoorOutdoor&lt;&gt;"Outdoor",$E$4="No"))),0,IF(i_CropType="Amenity grassland",(d_TTR3/1000)*d_MAF3*d_SalExt*d_AreaHM*d_ByFreqHM*d_ExpDurTreatCrop*i_AbsorpOralInuse3,0))</f>
        <v>0</v>
      </c>
      <c r="K45" s="1148"/>
      <c r="L45" s="1148">
        <f>IF(ISNUMBER(J45),J45/d_BwChild,0)</f>
        <v>0</v>
      </c>
      <c r="M45" s="1149"/>
      <c r="N45" s="1147" cm="1">
        <f t="array" ref="N45">IF(OR(i_FormVal="Granules, fine granules",OR(AND(i_IndoorOutdoor="Outdoor",$E$5="No"),AND(i_IndoorOutdoor&lt;&gt;"Outdoor",$E$4="No"))),0,IF(i_CropType="Amenity grassland",(d_TTR4/1000)*d_MAF4*d_SalExt*d_AreaHM*d_ByFreqHM*d_ExpDurTreatCrop*i_AbsorpOralInuse4,0))</f>
        <v>0</v>
      </c>
      <c r="O45" s="1148"/>
      <c r="P45" s="1148">
        <f>IF(ISNUMBER(N45),N45/d_BwChild,0)</f>
        <v>0</v>
      </c>
      <c r="Q45" s="1104"/>
      <c r="R45" s="1156" t="str">
        <f>IF(i_CropType="Amenity grassland","","Considered only for application on amenity grassland. ")</f>
        <v xml:space="preserve">Considered only for application on amenity grassland. </v>
      </c>
      <c r="S45" s="1157"/>
      <c r="T45" s="1158"/>
    </row>
    <row r="46" spans="1:21">
      <c r="A46" s="247" t="s">
        <v>831</v>
      </c>
      <c r="B46" s="1147" cm="1">
        <f t="array" ref="B46">IF(OR(i_FormVal="Granules, fine granules",OR(AND(i_IndoorOutdoor="Outdoor",$E$5="No"),AND(i_IndoorOutdoor&lt;&gt;"Outdoor",$E$4="No"))),0,IF(i_CropType="Amenity grassland",(i_AppRateAS1/100)*d_DRP*d_MouthGrass*i_AbsorpOralInuse1*d_MAF1,0))</f>
        <v>0</v>
      </c>
      <c r="C46" s="1148"/>
      <c r="D46" s="1148">
        <f>IF(ISNUMBER(B46),B46/d_BwChild,0)</f>
        <v>0</v>
      </c>
      <c r="E46" s="1149"/>
      <c r="F46" s="1147" cm="1">
        <f t="array" ref="F46">IF(OR(i_FormVal="Granules, fine granules",OR(AND(i_IndoorOutdoor="Outdoor",$E$5="No"),AND(i_IndoorOutdoor&lt;&gt;"Outdoor",$E$4="No"))),0,IF(i_CropType="Amenity grassland",(i_AppRateAS2/100)*d_DRP*d_MouthGrass*i_AbsorpOralInuse2*d_MAF2,0))</f>
        <v>0</v>
      </c>
      <c r="G46" s="1148"/>
      <c r="H46" s="1148">
        <f>IF(ISNUMBER(F46),F46/d_BwChild,0)</f>
        <v>0</v>
      </c>
      <c r="I46" s="1149"/>
      <c r="J46" s="1147" cm="1">
        <f t="array" ref="J46">IF(OR(i_FormVal="Granules, fine granules",OR(AND(i_IndoorOutdoor="Outdoor",$E$5="No"),AND(i_IndoorOutdoor&lt;&gt;"Outdoor",$E$4="No"))),0,IF(i_CropType="Amenity grassland",(i_AppRateAS3/100)*d_DRP*d_MouthGrass*i_AbsorpOralInuse3*d_MAF3,0))</f>
        <v>0</v>
      </c>
      <c r="K46" s="1148"/>
      <c r="L46" s="1148">
        <f>IF(ISNUMBER(J46),J46/d_BwChild,0)</f>
        <v>0</v>
      </c>
      <c r="M46" s="1149"/>
      <c r="N46" s="1147" cm="1">
        <f t="array" ref="N46">IF(OR(i_FormVal="Granules, fine granules",OR(AND(i_IndoorOutdoor="Outdoor",$E$5="No"),AND(i_IndoorOutdoor&lt;&gt;"Outdoor",$E$4="No"))),0,IF(i_CropType="Amenity grassland",(i_AppRateAS4/100)*d_DRP*d_MouthGrass*i_AbsorpOralInuse4*d_MAF4,0))</f>
        <v>0</v>
      </c>
      <c r="O46" s="1148"/>
      <c r="P46" s="1148">
        <f>IF(ISNUMBER(N46),N46/d_BwChild,0)</f>
        <v>0</v>
      </c>
      <c r="Q46" s="1104"/>
      <c r="R46" s="1156" t="str">
        <f>IF(i_CropType="Amenity grassland","","Considered only for application on amenity grassland. ")</f>
        <v xml:space="preserve">Considered only for application on amenity grassland. </v>
      </c>
      <c r="S46" s="1157"/>
      <c r="T46" s="1158"/>
    </row>
    <row r="47" spans="1:21" ht="15" customHeight="1">
      <c r="A47" s="728" t="s">
        <v>823</v>
      </c>
      <c r="B47" s="988" t="s">
        <v>825</v>
      </c>
      <c r="C47" s="1075"/>
      <c r="D47" s="1054" t="s">
        <v>448</v>
      </c>
      <c r="E47" s="992"/>
      <c r="F47" s="988" t="s">
        <v>825</v>
      </c>
      <c r="G47" s="1075"/>
      <c r="H47" s="1054" t="s">
        <v>448</v>
      </c>
      <c r="I47" s="992"/>
      <c r="J47" s="988" t="s">
        <v>825</v>
      </c>
      <c r="K47" s="1075"/>
      <c r="L47" s="1054" t="s">
        <v>448</v>
      </c>
      <c r="M47" s="992"/>
      <c r="N47" s="988" t="s">
        <v>825</v>
      </c>
      <c r="O47" s="1075"/>
      <c r="P47" s="1054" t="s">
        <v>448</v>
      </c>
      <c r="Q47" s="990"/>
      <c r="R47" s="1153" t="s">
        <v>543</v>
      </c>
      <c r="S47" s="1154"/>
      <c r="T47" s="1155"/>
    </row>
    <row r="48" spans="1:21" ht="53.25" customHeight="1">
      <c r="A48" s="245" t="s">
        <v>826</v>
      </c>
      <c r="B48" s="1055" t="e">
        <f>IF(i_FormVal="Granules, fine granules",0,(($C18*i_AbsorpInuse1*(1-d_ClothAF))+$C20)*d_ConcAs1*(1-Driftreduction))</f>
        <v>#N/A</v>
      </c>
      <c r="C48" s="1056"/>
      <c r="D48" s="1148">
        <f>IF(ISNUMBER(B48),B48/d_BwAdult,0)</f>
        <v>0</v>
      </c>
      <c r="E48" s="1149"/>
      <c r="F48" s="1147" t="e">
        <f>IF(i_FormVal="Granules, fine granules", 0,(($C18*i_AbsorpInuse2*(1-d_ClothAF))+$C20)*d_ConcAs2*(1-Driftreduction))</f>
        <v>#N/A</v>
      </c>
      <c r="G48" s="1148"/>
      <c r="H48" s="1148">
        <f>IF(ISNUMBER(F48),F48/d_BwAdult,0)</f>
        <v>0</v>
      </c>
      <c r="I48" s="1149"/>
      <c r="J48" s="1147" t="e">
        <f>IF(i_FormVal="Granules, fine granules", 0,(($C18*i_AbsorpInuse3*(1-d_ClothAF))+$C20)*d_ConcAs3*(1-Driftreduction))</f>
        <v>#N/A</v>
      </c>
      <c r="K48" s="1148"/>
      <c r="L48" s="1148">
        <f>IF(ISNUMBER(J48),J48/d_BwAdult,0)</f>
        <v>0</v>
      </c>
      <c r="M48" s="1149"/>
      <c r="N48" s="1147" t="e">
        <f>IF(i_FormVal="Granules, fine granules", 0,(($C18*i_AbsorpInuse4*(1-d_ClothAF))+$C20)*d_ConcAs4*(1-Driftreduction))</f>
        <v>#N/A</v>
      </c>
      <c r="O48" s="1148"/>
      <c r="P48" s="1148">
        <f>IF(ISNUMBER(N48),N48/d_BwAdult,0)</f>
        <v>0</v>
      </c>
      <c r="Q48" s="1104"/>
      <c r="R48" s="1156" t="str">
        <f>IF(i_FormVal="Granules, fine granules", "NA for application of granules",IF(i_AppMeth="Upward spraying","the only available values are for the 8 m distance downwind from the middle of the tree trunk, which are assumed to represent 5 m distance from the edge of orchard; the same value is used for 5 and 10 m. ",IF(Driftreduction = 0.5,"Since drift reducing nozzles are selected a 50% reduction factor has been applied","")))</f>
        <v/>
      </c>
      <c r="S48" s="1157"/>
      <c r="T48" s="1158"/>
    </row>
    <row r="49" spans="1:20">
      <c r="A49" s="245" t="s">
        <v>827</v>
      </c>
      <c r="B49" s="1147">
        <f>i_AbsorpInhalation1*d_AirCon1*d_BreathRAd*d_BwAdult</f>
        <v>1.6199999999999999E-2</v>
      </c>
      <c r="C49" s="1148"/>
      <c r="D49" s="1148">
        <f>IF(ISNUMBER(B49),B49/d_BwAdult,"")</f>
        <v>2.7E-4</v>
      </c>
      <c r="E49" s="1149"/>
      <c r="F49" s="1147">
        <f>i_AbsorpInhalation2*d_AirCon2*d_BreathRAd*d_BwAdult</f>
        <v>1.6199999999999999E-2</v>
      </c>
      <c r="G49" s="1148"/>
      <c r="H49" s="1148">
        <f>IF(ISNUMBER(F49),F49/d_BwAdult,"")</f>
        <v>2.7E-4</v>
      </c>
      <c r="I49" s="1149"/>
      <c r="J49" s="1147">
        <f>i_AbsorpInhalation3*d_AirCon3*d_BreathRAd*d_BwAdult</f>
        <v>1.6199999999999999E-2</v>
      </c>
      <c r="K49" s="1148"/>
      <c r="L49" s="1148">
        <f>IF(ISNUMBER(J49),J49/d_BwAdult,"")</f>
        <v>2.7E-4</v>
      </c>
      <c r="M49" s="1149"/>
      <c r="N49" s="1147">
        <f>i_AbsorpInhalation4*d_AirCon4*d_BreathRAd*d_BwAdult</f>
        <v>1.6199999999999999E-2</v>
      </c>
      <c r="O49" s="1148"/>
      <c r="P49" s="1148">
        <f>IF(ISNUMBER(N49),N49/d_BwAdult,"")</f>
        <v>2.7E-4</v>
      </c>
      <c r="Q49" s="1104"/>
      <c r="R49" s="1156"/>
      <c r="S49" s="1157"/>
      <c r="T49" s="1158"/>
    </row>
    <row r="50" spans="1:20">
      <c r="A50" s="245" t="s">
        <v>833</v>
      </c>
      <c r="B50" s="1147" t="e">
        <f>IF(i_AppMeth="In furrow application of granules", "",(d_TTR1/1000)*$C23*d_ByTCAd*d_ByExpDur*MAX(i_AbsorpProduct1,i_AbsorpInuse1)*d_MAF1*(1-Driftreduction))</f>
        <v>#N/A</v>
      </c>
      <c r="C50" s="1148"/>
      <c r="D50" s="1148" t="str">
        <f>IF(ISNUMBER(B50),B50/d_BwAdult,"")</f>
        <v/>
      </c>
      <c r="E50" s="1149"/>
      <c r="F50" s="1147" t="e">
        <f>IF(i_AppMeth="In furrow application of granules", "",(d_TTR2/1000)*$C23*d_ByTCAd*d_ByExpDur*MAX(i_AbsorpProduct2,i_AbsorpInuse2)*d_MAF2*(1-Driftreduction))</f>
        <v>#N/A</v>
      </c>
      <c r="G50" s="1148"/>
      <c r="H50" s="1148" t="str">
        <f>IF(ISNUMBER(F50),F50/d_BwAdult,"")</f>
        <v/>
      </c>
      <c r="I50" s="1149"/>
      <c r="J50" s="1147" t="e">
        <f>IF(i_AppMeth="In furrow application of granules", "",(d_TTR3/1000)*$C23*d_ByTCAd*d_ByExpDur*MAX(i_AbsorpProduct3,i_AbsorpInuse3)*d_MAF3*(1-Driftreduction))</f>
        <v>#N/A</v>
      </c>
      <c r="K50" s="1148"/>
      <c r="L50" s="1148" t="str">
        <f>IF(ISNUMBER(J50),J50/d_BwAdult,"")</f>
        <v/>
      </c>
      <c r="M50" s="1149"/>
      <c r="N50" s="1147" t="e">
        <f>IF(i_AppMeth="In furrow application of granules", "",(d_TTR4/1000)*$C23*d_ByTCAd*d_ByExpDur*MAX(i_AbsorpProduct4,i_AbsorpInuse4)*d_MAF4*(1-Driftreduction))</f>
        <v>#N/A</v>
      </c>
      <c r="O50" s="1148"/>
      <c r="P50" s="1148" t="str">
        <f>IF(ISNUMBER(N50),N50/d_BwAdult,"")</f>
        <v/>
      </c>
      <c r="Q50" s="1104"/>
      <c r="R50" s="1156" t="str">
        <f>IF(OR(i_AppMeth="In furrow application of granules", i_AppMeth="Manual application of granules"), "NA for in furrow or manual application of granules",IF(Driftreduction=0.5,"Since drift reducing nozzles are selected a 50% reduction factor has been applied",""))</f>
        <v/>
      </c>
      <c r="S50" s="1157"/>
      <c r="T50" s="1158"/>
    </row>
    <row r="51" spans="1:20" ht="30.75" thickBot="1">
      <c r="A51" s="719" t="s">
        <v>834</v>
      </c>
      <c r="B51" s="1146" cm="1">
        <f t="array" ref="B51">IF(OR(i_FormVal="Granules, fine granules",OR(AND(i_IndoorOutdoor="Outdoor",$E$5="No"),AND(i_IndoorOutdoor&lt;&gt;"Outdoor",$E$4="No"))),0,IF(i_CropType="Amenity grassland",(i_AppRateAS1/100)*d_MAF1*d_Turf*d_ByTCAd*d_ExpDurTreatCrop*MAX(i_AbsorpProduct1,i_AbsorpInuse1),IF(LEFT(i_CropType,4)="Bare",ConcSoil1*skinAdhSoil*d_HandSurface*i_AbsorpInuse1,(d_TcEntryAd*0.25*d_DFR1*d_MAF1)/1000*MAX(i_AbsorpProduct1,i_AbsorpInuse1))))</f>
        <v>0</v>
      </c>
      <c r="C51" s="1144"/>
      <c r="D51" s="1144">
        <f>IF(ISNUMBER(B51),B51/d_BwAdult,0)</f>
        <v>0</v>
      </c>
      <c r="E51" s="1145"/>
      <c r="F51" s="1146" cm="1">
        <f t="array" ref="F51">IF(OR(i_FormVal="Granules, fine granules",OR(AND(i_IndoorOutdoor="Outdoor",$E$5="No"),AND(i_IndoorOutdoor&lt;&gt;"Outdoor",$E$4="No"))),0,IF(i_CropType="Amenity grassland",(i_AppRateAS2/100)*d_MAF2*d_Turf*d_ByTCAd*d_ExpDurTreatCrop*MAX(i_AbsorpProduct2,i_AbsorpInuse2),IF(LEFT(i_CropType,4)="Bare",ConcSoil2*skinAdhSoil*d_HandSurface*i_AbsorpInuse2,(d_TcEntryAd*0.25*d_DFR2*d_MAF2)/1000*MAX(i_AbsorpProduct2,i_AbsorpInuse2))))</f>
        <v>0</v>
      </c>
      <c r="G51" s="1144"/>
      <c r="H51" s="1144">
        <f>IF(ISNUMBER(F51),F51/d_BwAdult,0)</f>
        <v>0</v>
      </c>
      <c r="I51" s="1145"/>
      <c r="J51" s="1146" cm="1">
        <f t="array" ref="J51">IF(OR(i_FormVal="Granules, fine granules",OR(AND(i_IndoorOutdoor="Outdoor",$E$5="No"),AND(i_IndoorOutdoor&lt;&gt;"Outdoor",$E$4="No"))),0,IF(i_CropType="Amenity grassland",(i_AppRateAS3/100)*d_MAF3*d_Turf*d_ByTCAd*d_ExpDurTreatCrop*MAX(i_AbsorpProduct3,i_AbsorpInuse3),IF(LEFT(i_CropType,4)="Bare",ConcSoil3*skinAdhSoil*d_HandSurface*i_AbsorpInuse3,(d_TcEntryAd*0.25*d_DFR3*d_MAF3)/1000*MAX(i_AbsorpProduct3,i_AbsorpInuse3))))</f>
        <v>0</v>
      </c>
      <c r="K51" s="1144"/>
      <c r="L51" s="1144">
        <f>IF(ISNUMBER(J51),J51/d_BwAdult,0)</f>
        <v>0</v>
      </c>
      <c r="M51" s="1145"/>
      <c r="N51" s="1146" cm="1">
        <f t="array" ref="N51">IF(OR(i_FormVal="Granules, fine granules",OR(AND(i_IndoorOutdoor="Outdoor",$E$5="No"),AND(i_IndoorOutdoor&lt;&gt;"Outdoor",$E$4="No"))),0,IF(i_CropType="Amenity grassland",(i_AppRateAS4/100)*d_MAF4*d_Turf*d_ByTCAd*d_ExpDurTreatCrop*MAX(i_AbsorpProduct4,i_AbsorpInuse4),IF(LEFT(i_CropType,4)="Bare",ConcSoil4*skinAdhSoil*d_HandSurface*i_AbsorpInuse4,(d_TcEntryAd*0.25*d_DFR4*d_MAF4)/1000*MAX(i_AbsorpProduct4,i_AbsorpInuse4))))</f>
        <v>0</v>
      </c>
      <c r="O51" s="1144"/>
      <c r="P51" s="1144">
        <f>IF(ISNUMBER(N51),N51/d_BwAdult,0)</f>
        <v>0</v>
      </c>
      <c r="Q51" s="1119"/>
      <c r="R51" s="1171" t="str">
        <f>IF(i_FormVal="Granules, fine granules","NA for application of granules since calculation is same as for worker exposure and have no worker exposure for application of granules","")</f>
        <v/>
      </c>
      <c r="S51" s="1172"/>
      <c r="T51" s="1173"/>
    </row>
    <row r="52" spans="1:20">
      <c r="A52" s="81"/>
    </row>
    <row r="53" spans="1:20">
      <c r="B53" s="57"/>
    </row>
    <row r="54" spans="1:20">
      <c r="B54" s="57"/>
    </row>
    <row r="55" spans="1:20">
      <c r="B55" s="78"/>
      <c r="E55" s="78"/>
      <c r="F55" s="78"/>
      <c r="G55" s="78"/>
    </row>
  </sheetData>
  <sheetProtection algorithmName="SHA-512" hashValue="AiX7yXt8jzic1iMRjUXRVx2lUyUAJdfRuaXgDHaFL98modBi5uzozPIbyTTxTwgjLW0EUXPe9Bgd8zJ15BCu6A==" saltValue="iBlvUeVTRDUXS5MvqdZsjw==" spinCount="100000" sheet="1" formatCells="0" formatColumns="0"/>
  <mergeCells count="210">
    <mergeCell ref="F11:I11"/>
    <mergeCell ref="C11:E11"/>
    <mergeCell ref="B25:E25"/>
    <mergeCell ref="B2:C2"/>
    <mergeCell ref="A8:B8"/>
    <mergeCell ref="A11:B11"/>
    <mergeCell ref="A10:B10"/>
    <mergeCell ref="A9:B9"/>
    <mergeCell ref="A23:B23"/>
    <mergeCell ref="A22:B22"/>
    <mergeCell ref="C13:E13"/>
    <mergeCell ref="F13:I13"/>
    <mergeCell ref="F7:I7"/>
    <mergeCell ref="A14:B14"/>
    <mergeCell ref="C17:E17"/>
    <mergeCell ref="F17:I17"/>
    <mergeCell ref="C16:E16"/>
    <mergeCell ref="F10:I10"/>
    <mergeCell ref="A13:B13"/>
    <mergeCell ref="F12:I12"/>
    <mergeCell ref="F15:I15"/>
    <mergeCell ref="F14:I14"/>
    <mergeCell ref="C14:E14"/>
    <mergeCell ref="F16:I16"/>
    <mergeCell ref="J7:M7"/>
    <mergeCell ref="J8:M8"/>
    <mergeCell ref="J9:M9"/>
    <mergeCell ref="J10:M10"/>
    <mergeCell ref="C9:E9"/>
    <mergeCell ref="C10:E10"/>
    <mergeCell ref="C7:E7"/>
    <mergeCell ref="C8:E8"/>
    <mergeCell ref="F8:I8"/>
    <mergeCell ref="F9:I9"/>
    <mergeCell ref="N7:Q7"/>
    <mergeCell ref="N17:Q17"/>
    <mergeCell ref="N15:Q15"/>
    <mergeCell ref="P46:Q46"/>
    <mergeCell ref="N45:O45"/>
    <mergeCell ref="P45:Q45"/>
    <mergeCell ref="N8:Q8"/>
    <mergeCell ref="N9:Q9"/>
    <mergeCell ref="N10:Q10"/>
    <mergeCell ref="P36:Q36"/>
    <mergeCell ref="N37:O37"/>
    <mergeCell ref="P37:Q37"/>
    <mergeCell ref="N40:O40"/>
    <mergeCell ref="P40:Q40"/>
    <mergeCell ref="N41:O41"/>
    <mergeCell ref="P41:Q41"/>
    <mergeCell ref="N11:Q11"/>
    <mergeCell ref="N12:Q12"/>
    <mergeCell ref="N14:Q14"/>
    <mergeCell ref="N16:Q16"/>
    <mergeCell ref="N25:Q25"/>
    <mergeCell ref="J11:M11"/>
    <mergeCell ref="J12:M12"/>
    <mergeCell ref="J14:M14"/>
    <mergeCell ref="J13:M13"/>
    <mergeCell ref="L49:M49"/>
    <mergeCell ref="P49:Q49"/>
    <mergeCell ref="L48:M48"/>
    <mergeCell ref="N50:O50"/>
    <mergeCell ref="P50:Q50"/>
    <mergeCell ref="N49:O49"/>
    <mergeCell ref="L50:M50"/>
    <mergeCell ref="P48:Q48"/>
    <mergeCell ref="N36:O36"/>
    <mergeCell ref="N35:Q35"/>
    <mergeCell ref="J36:K36"/>
    <mergeCell ref="L36:M36"/>
    <mergeCell ref="N13:Q13"/>
    <mergeCell ref="N48:O48"/>
    <mergeCell ref="L47:M47"/>
    <mergeCell ref="L39:M39"/>
    <mergeCell ref="N47:O47"/>
    <mergeCell ref="P47:Q47"/>
    <mergeCell ref="R37:T37"/>
    <mergeCell ref="R38:T38"/>
    <mergeCell ref="R39:T39"/>
    <mergeCell ref="P39:Q39"/>
    <mergeCell ref="N51:O51"/>
    <mergeCell ref="P51:Q51"/>
    <mergeCell ref="L37:M37"/>
    <mergeCell ref="L38:M38"/>
    <mergeCell ref="R25:U25"/>
    <mergeCell ref="R35:T36"/>
    <mergeCell ref="R48:T48"/>
    <mergeCell ref="R49:T49"/>
    <mergeCell ref="R50:T50"/>
    <mergeCell ref="R31:U32"/>
    <mergeCell ref="R27:U28"/>
    <mergeCell ref="L40:M40"/>
    <mergeCell ref="R40:T40"/>
    <mergeCell ref="R41:T41"/>
    <mergeCell ref="R42:T42"/>
    <mergeCell ref="P38:Q38"/>
    <mergeCell ref="N39:O39"/>
    <mergeCell ref="N38:O38"/>
    <mergeCell ref="L41:M41"/>
    <mergeCell ref="R51:T51"/>
    <mergeCell ref="L51:M51"/>
    <mergeCell ref="R47:T47"/>
    <mergeCell ref="R43:T43"/>
    <mergeCell ref="R44:T44"/>
    <mergeCell ref="R45:T45"/>
    <mergeCell ref="R46:T46"/>
    <mergeCell ref="N42:O42"/>
    <mergeCell ref="J43:K43"/>
    <mergeCell ref="L43:M43"/>
    <mergeCell ref="P43:Q43"/>
    <mergeCell ref="N44:O44"/>
    <mergeCell ref="P44:Q44"/>
    <mergeCell ref="P42:Q42"/>
    <mergeCell ref="N43:O43"/>
    <mergeCell ref="J42:K42"/>
    <mergeCell ref="L42:M42"/>
    <mergeCell ref="L46:M46"/>
    <mergeCell ref="J44:K44"/>
    <mergeCell ref="L44:M44"/>
    <mergeCell ref="J45:K45"/>
    <mergeCell ref="L45:M45"/>
    <mergeCell ref="N46:O46"/>
    <mergeCell ref="J48:K48"/>
    <mergeCell ref="J50:K50"/>
    <mergeCell ref="B37:C37"/>
    <mergeCell ref="D37:E37"/>
    <mergeCell ref="B38:C38"/>
    <mergeCell ref="D38:E38"/>
    <mergeCell ref="B39:C39"/>
    <mergeCell ref="D39:E39"/>
    <mergeCell ref="B49:C49"/>
    <mergeCell ref="D49:E49"/>
    <mergeCell ref="B50:C50"/>
    <mergeCell ref="B46:C46"/>
    <mergeCell ref="D46:E46"/>
    <mergeCell ref="B43:C43"/>
    <mergeCell ref="D43:E43"/>
    <mergeCell ref="B44:C44"/>
    <mergeCell ref="D44:E44"/>
    <mergeCell ref="B41:C41"/>
    <mergeCell ref="D41:E41"/>
    <mergeCell ref="B42:C42"/>
    <mergeCell ref="D42:E42"/>
    <mergeCell ref="B45:C45"/>
    <mergeCell ref="B51:C51"/>
    <mergeCell ref="D51:E51"/>
    <mergeCell ref="B48:C48"/>
    <mergeCell ref="D48:E48"/>
    <mergeCell ref="D45:E45"/>
    <mergeCell ref="B40:C40"/>
    <mergeCell ref="D40:E40"/>
    <mergeCell ref="D47:E47"/>
    <mergeCell ref="F38:G38"/>
    <mergeCell ref="F43:G43"/>
    <mergeCell ref="F39:G39"/>
    <mergeCell ref="F51:G51"/>
    <mergeCell ref="F50:G50"/>
    <mergeCell ref="F48:G48"/>
    <mergeCell ref="F46:G46"/>
    <mergeCell ref="F44:G44"/>
    <mergeCell ref="F45:G45"/>
    <mergeCell ref="F41:G41"/>
    <mergeCell ref="F40:G40"/>
    <mergeCell ref="D50:E50"/>
    <mergeCell ref="H41:I41"/>
    <mergeCell ref="F42:G42"/>
    <mergeCell ref="J47:K47"/>
    <mergeCell ref="J37:K37"/>
    <mergeCell ref="H47:I47"/>
    <mergeCell ref="F47:G47"/>
    <mergeCell ref="J41:K41"/>
    <mergeCell ref="H37:I37"/>
    <mergeCell ref="H38:I38"/>
    <mergeCell ref="H39:I39"/>
    <mergeCell ref="J39:K39"/>
    <mergeCell ref="F37:G37"/>
    <mergeCell ref="J38:K38"/>
    <mergeCell ref="H40:I40"/>
    <mergeCell ref="H45:I45"/>
    <mergeCell ref="J46:K46"/>
    <mergeCell ref="H46:I46"/>
    <mergeCell ref="H43:I43"/>
    <mergeCell ref="H44:I44"/>
    <mergeCell ref="H42:I42"/>
    <mergeCell ref="J40:K40"/>
    <mergeCell ref="B35:E35"/>
    <mergeCell ref="H51:I51"/>
    <mergeCell ref="J51:K51"/>
    <mergeCell ref="B47:C47"/>
    <mergeCell ref="B5:C5"/>
    <mergeCell ref="F49:G49"/>
    <mergeCell ref="H49:I49"/>
    <mergeCell ref="J16:M16"/>
    <mergeCell ref="J25:M25"/>
    <mergeCell ref="F25:I25"/>
    <mergeCell ref="H48:I48"/>
    <mergeCell ref="C15:E15"/>
    <mergeCell ref="F36:G36"/>
    <mergeCell ref="J15:M15"/>
    <mergeCell ref="J17:M17"/>
    <mergeCell ref="A12:B12"/>
    <mergeCell ref="C12:E12"/>
    <mergeCell ref="H36:I36"/>
    <mergeCell ref="F35:I35"/>
    <mergeCell ref="J35:M35"/>
    <mergeCell ref="B36:C36"/>
    <mergeCell ref="D36:E36"/>
    <mergeCell ref="H50:I50"/>
    <mergeCell ref="J49:K49"/>
  </mergeCells>
  <conditionalFormatting sqref="C33:E33">
    <cfRule type="cellIs" dxfId="499" priority="353" operator="between">
      <formula>0.001</formula>
      <formula>0.01</formula>
    </cfRule>
    <cfRule type="cellIs" dxfId="498" priority="354" operator="between">
      <formula>0.1</formula>
      <formula>1</formula>
    </cfRule>
    <cfRule type="cellIs" dxfId="497" priority="355" operator="greaterThanOrEqual">
      <formula>1</formula>
    </cfRule>
    <cfRule type="cellIs" dxfId="496" priority="356" operator="between">
      <formula>0.01</formula>
      <formula>0.1</formula>
    </cfRule>
  </conditionalFormatting>
  <conditionalFormatting sqref="B33:D33">
    <cfRule type="cellIs" dxfId="495" priority="349" operator="between">
      <formula>0.001</formula>
      <formula>0.01</formula>
    </cfRule>
    <cfRule type="cellIs" dxfId="494" priority="350" operator="between">
      <formula>0.1</formula>
      <formula>1</formula>
    </cfRule>
    <cfRule type="cellIs" dxfId="493" priority="351" operator="greaterThanOrEqual">
      <formula>1</formula>
    </cfRule>
    <cfRule type="cellIs" dxfId="492" priority="352" operator="between">
      <formula>0.01</formula>
      <formula>0.1</formula>
    </cfRule>
  </conditionalFormatting>
  <conditionalFormatting sqref="R31">
    <cfRule type="cellIs" dxfId="491" priority="337" operator="greaterThanOrEqual">
      <formula>10</formula>
    </cfRule>
    <cfRule type="cellIs" dxfId="490" priority="338" operator="between">
      <formula>1</formula>
      <formula>10</formula>
    </cfRule>
    <cfRule type="cellIs" dxfId="489" priority="339" operator="between">
      <formula>0.1</formula>
      <formula>1</formula>
    </cfRule>
    <cfRule type="cellIs" dxfId="488" priority="340" operator="between">
      <formula>0.001</formula>
      <formula>0.01</formula>
    </cfRule>
    <cfRule type="cellIs" dxfId="487" priority="341" operator="between">
      <formula>0</formula>
      <formula>0.001</formula>
    </cfRule>
    <cfRule type="cellIs" dxfId="486" priority="342" operator="between">
      <formula>0.01</formula>
      <formula>0.1</formula>
    </cfRule>
  </conditionalFormatting>
  <conditionalFormatting sqref="A25:U51">
    <cfRule type="cellIs" dxfId="485" priority="336" operator="equal">
      <formula>0</formula>
    </cfRule>
  </conditionalFormatting>
  <conditionalFormatting sqref="B31:Q32">
    <cfRule type="cellIs" dxfId="484" priority="18" operator="between">
      <formula>0.0001</formula>
      <formula>0.001</formula>
    </cfRule>
    <cfRule type="cellIs" dxfId="483" priority="330" operator="greaterThanOrEqual">
      <formula>10</formula>
    </cfRule>
    <cfRule type="cellIs" dxfId="482" priority="331" operator="between">
      <formula>1</formula>
      <formula>10</formula>
    </cfRule>
    <cfRule type="cellIs" dxfId="481" priority="332" operator="between">
      <formula>0.1</formula>
      <formula>1</formula>
    </cfRule>
    <cfRule type="cellIs" dxfId="480" priority="333" operator="between">
      <formula>0.001</formula>
      <formula>0.01</formula>
    </cfRule>
    <cfRule type="cellIs" dxfId="479" priority="334" operator="between">
      <formula>0</formula>
      <formula>0.0001</formula>
    </cfRule>
    <cfRule type="cellIs" dxfId="478" priority="335" operator="between">
      <formula>0.01</formula>
      <formula>0.1</formula>
    </cfRule>
  </conditionalFormatting>
  <conditionalFormatting sqref="B31:Q32">
    <cfRule type="cellIs" dxfId="477" priority="329" operator="equal">
      <formula>0</formula>
    </cfRule>
  </conditionalFormatting>
  <conditionalFormatting sqref="G33 I33">
    <cfRule type="cellIs" dxfId="476" priority="303" operator="between">
      <formula>0.001</formula>
      <formula>0.01</formula>
    </cfRule>
    <cfRule type="cellIs" dxfId="475" priority="304" operator="between">
      <formula>0.1</formula>
      <formula>1</formula>
    </cfRule>
    <cfRule type="cellIs" dxfId="474" priority="305" operator="greaterThanOrEqual">
      <formula>1</formula>
    </cfRule>
    <cfRule type="cellIs" dxfId="473" priority="306" operator="between">
      <formula>0.01</formula>
      <formula>0.1</formula>
    </cfRule>
  </conditionalFormatting>
  <conditionalFormatting sqref="H33 F33">
    <cfRule type="cellIs" dxfId="472" priority="299" operator="between">
      <formula>0.001</formula>
      <formula>0.01</formula>
    </cfRule>
    <cfRule type="cellIs" dxfId="471" priority="300" operator="between">
      <formula>0.1</formula>
      <formula>1</formula>
    </cfRule>
    <cfRule type="cellIs" dxfId="470" priority="301" operator="greaterThanOrEqual">
      <formula>1</formula>
    </cfRule>
    <cfRule type="cellIs" dxfId="469" priority="302" operator="between">
      <formula>0.01</formula>
      <formula>0.1</formula>
    </cfRule>
  </conditionalFormatting>
  <conditionalFormatting sqref="K33 M33">
    <cfRule type="cellIs" dxfId="468" priority="295" operator="between">
      <formula>0.001</formula>
      <formula>0.01</formula>
    </cfRule>
    <cfRule type="cellIs" dxfId="467" priority="296" operator="between">
      <formula>0.1</formula>
      <formula>1</formula>
    </cfRule>
    <cfRule type="cellIs" dxfId="466" priority="297" operator="greaterThanOrEqual">
      <formula>1</formula>
    </cfRule>
    <cfRule type="cellIs" dxfId="465" priority="298" operator="between">
      <formula>0.01</formula>
      <formula>0.1</formula>
    </cfRule>
  </conditionalFormatting>
  <conditionalFormatting sqref="L33 J33">
    <cfRule type="cellIs" dxfId="464" priority="291" operator="between">
      <formula>0.001</formula>
      <formula>0.01</formula>
    </cfRule>
    <cfRule type="cellIs" dxfId="463" priority="292" operator="between">
      <formula>0.1</formula>
      <formula>1</formula>
    </cfRule>
    <cfRule type="cellIs" dxfId="462" priority="293" operator="greaterThanOrEqual">
      <formula>1</formula>
    </cfRule>
    <cfRule type="cellIs" dxfId="461" priority="294" operator="between">
      <formula>0.01</formula>
      <formula>0.1</formula>
    </cfRule>
  </conditionalFormatting>
  <conditionalFormatting sqref="J33">
    <cfRule type="expression" dxfId="460" priority="289">
      <formula>$J$33&lt;=1</formula>
    </cfRule>
    <cfRule type="expression" dxfId="459" priority="290">
      <formula>$J$33&gt;1</formula>
    </cfRule>
  </conditionalFormatting>
  <conditionalFormatting sqref="M33">
    <cfRule type="expression" dxfId="458" priority="283">
      <formula>$M$33&gt;1</formula>
    </cfRule>
    <cfRule type="expression" dxfId="457" priority="286">
      <formula>$M$33&lt;=1</formula>
    </cfRule>
  </conditionalFormatting>
  <conditionalFormatting sqref="L33">
    <cfRule type="expression" dxfId="456" priority="284">
      <formula>$L$33&gt;1</formula>
    </cfRule>
    <cfRule type="expression" dxfId="455" priority="287">
      <formula>$L$33&lt;=1</formula>
    </cfRule>
  </conditionalFormatting>
  <conditionalFormatting sqref="K33">
    <cfRule type="expression" dxfId="454" priority="285">
      <formula>$K$33&gt;1</formula>
    </cfRule>
    <cfRule type="expression" dxfId="453" priority="288">
      <formula>$K$33&lt;=1</formula>
    </cfRule>
  </conditionalFormatting>
  <conditionalFormatting sqref="O33 Q33">
    <cfRule type="cellIs" dxfId="452" priority="279" operator="between">
      <formula>0.001</formula>
      <formula>0.01</formula>
    </cfRule>
    <cfRule type="cellIs" dxfId="451" priority="280" operator="between">
      <formula>0.1</formula>
      <formula>1</formula>
    </cfRule>
    <cfRule type="cellIs" dxfId="450" priority="281" operator="greaterThanOrEqual">
      <formula>1</formula>
    </cfRule>
    <cfRule type="cellIs" dxfId="449" priority="282" operator="between">
      <formula>0.01</formula>
      <formula>0.1</formula>
    </cfRule>
  </conditionalFormatting>
  <conditionalFormatting sqref="P33 N33">
    <cfRule type="cellIs" dxfId="448" priority="275" operator="between">
      <formula>0.001</formula>
      <formula>0.01</formula>
    </cfRule>
    <cfRule type="cellIs" dxfId="447" priority="276" operator="between">
      <formula>0.1</formula>
      <formula>1</formula>
    </cfRule>
    <cfRule type="cellIs" dxfId="446" priority="277" operator="greaterThanOrEqual">
      <formula>1</formula>
    </cfRule>
    <cfRule type="cellIs" dxfId="445" priority="278" operator="between">
      <formula>0.01</formula>
      <formula>0.1</formula>
    </cfRule>
  </conditionalFormatting>
  <conditionalFormatting sqref="N33">
    <cfRule type="expression" dxfId="444" priority="273">
      <formula>$N$33&lt;=1</formula>
    </cfRule>
    <cfRule type="expression" dxfId="443" priority="274">
      <formula>$N$33&gt;1</formula>
    </cfRule>
  </conditionalFormatting>
  <conditionalFormatting sqref="Q33">
    <cfRule type="expression" dxfId="442" priority="267">
      <formula>$Q$33&gt;1</formula>
    </cfRule>
    <cfRule type="expression" dxfId="441" priority="270">
      <formula>$Q$33&lt;=1</formula>
    </cfRule>
  </conditionalFormatting>
  <conditionalFormatting sqref="P33">
    <cfRule type="expression" dxfId="440" priority="268">
      <formula>$P$33&gt;1</formula>
    </cfRule>
    <cfRule type="expression" dxfId="439" priority="271">
      <formula>$P$33&lt;=1</formula>
    </cfRule>
  </conditionalFormatting>
  <conditionalFormatting sqref="O33">
    <cfRule type="expression" dxfId="438" priority="269">
      <formula>$O$33&gt;1</formula>
    </cfRule>
    <cfRule type="expression" dxfId="437" priority="272">
      <formula>$O$33&lt;=1</formula>
    </cfRule>
  </conditionalFormatting>
  <conditionalFormatting sqref="R33">
    <cfRule type="cellIs" dxfId="436" priority="263" operator="between">
      <formula>0.001</formula>
      <formula>0.01</formula>
    </cfRule>
    <cfRule type="cellIs" dxfId="435" priority="264" operator="between">
      <formula>0.1</formula>
      <formula>1</formula>
    </cfRule>
    <cfRule type="cellIs" dxfId="434" priority="265" operator="greaterThanOrEqual">
      <formula>1</formula>
    </cfRule>
    <cfRule type="cellIs" dxfId="433" priority="266" operator="between">
      <formula>0.01</formula>
      <formula>0.1</formula>
    </cfRule>
  </conditionalFormatting>
  <conditionalFormatting sqref="R33">
    <cfRule type="expression" dxfId="432" priority="261">
      <formula>B33+F33+J33+N33&lt;=1</formula>
    </cfRule>
    <cfRule type="expression" dxfId="431" priority="262">
      <formula>B33+F33+J33+N33&gt;1</formula>
    </cfRule>
  </conditionalFormatting>
  <conditionalFormatting sqref="S33 U33">
    <cfRule type="cellIs" dxfId="430" priority="257" operator="between">
      <formula>0.001</formula>
      <formula>0.01</formula>
    </cfRule>
    <cfRule type="cellIs" dxfId="429" priority="258" operator="between">
      <formula>0.1</formula>
      <formula>1</formula>
    </cfRule>
    <cfRule type="cellIs" dxfId="428" priority="259" operator="greaterThanOrEqual">
      <formula>1</formula>
    </cfRule>
    <cfRule type="cellIs" dxfId="427" priority="260" operator="between">
      <formula>0.01</formula>
      <formula>0.1</formula>
    </cfRule>
  </conditionalFormatting>
  <conditionalFormatting sqref="T33">
    <cfRule type="cellIs" dxfId="426" priority="253" operator="between">
      <formula>0.001</formula>
      <formula>0.01</formula>
    </cfRule>
    <cfRule type="cellIs" dxfId="425" priority="254" operator="between">
      <formula>0.1</formula>
      <formula>1</formula>
    </cfRule>
    <cfRule type="cellIs" dxfId="424" priority="255" operator="greaterThanOrEqual">
      <formula>1</formula>
    </cfRule>
    <cfRule type="cellIs" dxfId="423" priority="256" operator="between">
      <formula>0.01</formula>
      <formula>0.1</formula>
    </cfRule>
  </conditionalFormatting>
  <conditionalFormatting sqref="U33">
    <cfRule type="expression" dxfId="422" priority="247">
      <formula>$Q$33&gt;1</formula>
    </cfRule>
    <cfRule type="expression" dxfId="421" priority="250">
      <formula>$Q$33&lt;=1</formula>
    </cfRule>
  </conditionalFormatting>
  <conditionalFormatting sqref="T33">
    <cfRule type="expression" dxfId="420" priority="248">
      <formula>D33+H33+L33+P33&gt;1</formula>
    </cfRule>
    <cfRule type="expression" dxfId="419" priority="251">
      <formula>D33+H33+L33+P33&lt;=1</formula>
    </cfRule>
  </conditionalFormatting>
  <conditionalFormatting sqref="S33">
    <cfRule type="expression" dxfId="418" priority="249">
      <formula>C33+G33+K33+O33&gt;1</formula>
    </cfRule>
    <cfRule type="expression" dxfId="417" priority="252">
      <formula>C33+G33+K33+O33&lt;=1</formula>
    </cfRule>
  </conditionalFormatting>
  <conditionalFormatting sqref="R29">
    <cfRule type="cellIs" dxfId="416" priority="243" operator="between">
      <formula>0.001</formula>
      <formula>0.01</formula>
    </cfRule>
    <cfRule type="cellIs" dxfId="415" priority="244" operator="between">
      <formula>0.1</formula>
      <formula>1</formula>
    </cfRule>
    <cfRule type="cellIs" dxfId="414" priority="245" operator="greaterThanOrEqual">
      <formula>1</formula>
    </cfRule>
    <cfRule type="cellIs" dxfId="413" priority="246" operator="between">
      <formula>0.01</formula>
      <formula>0.1</formula>
    </cfRule>
  </conditionalFormatting>
  <conditionalFormatting sqref="R29">
    <cfRule type="expression" dxfId="412" priority="241">
      <formula>B29+F29+J29+N29&lt;=1</formula>
    </cfRule>
    <cfRule type="expression" dxfId="411" priority="242">
      <formula>B29+F29+J29+N29&gt;1</formula>
    </cfRule>
  </conditionalFormatting>
  <conditionalFormatting sqref="S29 U29">
    <cfRule type="cellIs" dxfId="410" priority="237" operator="between">
      <formula>0.001</formula>
      <formula>0.01</formula>
    </cfRule>
    <cfRule type="cellIs" dxfId="409" priority="238" operator="between">
      <formula>0.1</formula>
      <formula>1</formula>
    </cfRule>
    <cfRule type="cellIs" dxfId="408" priority="239" operator="greaterThanOrEqual">
      <formula>1</formula>
    </cfRule>
    <cfRule type="cellIs" dxfId="407" priority="240" operator="between">
      <formula>0.01</formula>
      <formula>0.1</formula>
    </cfRule>
  </conditionalFormatting>
  <conditionalFormatting sqref="T29">
    <cfRule type="cellIs" dxfId="406" priority="233" operator="between">
      <formula>0.001</formula>
      <formula>0.01</formula>
    </cfRule>
    <cfRule type="cellIs" dxfId="405" priority="234" operator="between">
      <formula>0.1</formula>
      <formula>1</formula>
    </cfRule>
    <cfRule type="cellIs" dxfId="404" priority="235" operator="greaterThanOrEqual">
      <formula>1</formula>
    </cfRule>
    <cfRule type="cellIs" dxfId="403" priority="236" operator="between">
      <formula>0.01</formula>
      <formula>0.1</formula>
    </cfRule>
  </conditionalFormatting>
  <conditionalFormatting sqref="U29">
    <cfRule type="expression" dxfId="402" priority="227">
      <formula>$Q$33&gt;1</formula>
    </cfRule>
    <cfRule type="expression" dxfId="401" priority="230">
      <formula>$Q$33&lt;=1</formula>
    </cfRule>
  </conditionalFormatting>
  <conditionalFormatting sqref="T29">
    <cfRule type="expression" dxfId="400" priority="228">
      <formula>D29+H29+L29+P29&gt;1</formula>
    </cfRule>
    <cfRule type="expression" dxfId="399" priority="231">
      <formula>D29+H29+L29+P29&lt;=1</formula>
    </cfRule>
  </conditionalFormatting>
  <conditionalFormatting sqref="S29">
    <cfRule type="expression" dxfId="398" priority="229">
      <formula>C29+G29+K29+O29&gt;1</formula>
    </cfRule>
    <cfRule type="expression" dxfId="397" priority="232">
      <formula>C29+G29+K29+O29&lt;=1</formula>
    </cfRule>
  </conditionalFormatting>
  <conditionalFormatting sqref="O29 Q29">
    <cfRule type="cellIs" dxfId="396" priority="223" operator="between">
      <formula>0.001</formula>
      <formula>0.01</formula>
    </cfRule>
    <cfRule type="cellIs" dxfId="395" priority="224" operator="between">
      <formula>0.1</formula>
      <formula>1</formula>
    </cfRule>
    <cfRule type="cellIs" dxfId="394" priority="225" operator="greaterThanOrEqual">
      <formula>1</formula>
    </cfRule>
    <cfRule type="cellIs" dxfId="393" priority="226" operator="between">
      <formula>0.01</formula>
      <formula>0.1</formula>
    </cfRule>
  </conditionalFormatting>
  <conditionalFormatting sqref="P29 N29">
    <cfRule type="cellIs" dxfId="392" priority="219" operator="between">
      <formula>0.001</formula>
      <formula>0.01</formula>
    </cfRule>
    <cfRule type="cellIs" dxfId="391" priority="220" operator="between">
      <formula>0.1</formula>
      <formula>1</formula>
    </cfRule>
    <cfRule type="cellIs" dxfId="390" priority="221" operator="greaterThanOrEqual">
      <formula>1</formula>
    </cfRule>
    <cfRule type="cellIs" dxfId="389" priority="222" operator="between">
      <formula>0.01</formula>
      <formula>0.1</formula>
    </cfRule>
  </conditionalFormatting>
  <conditionalFormatting sqref="K29 M29">
    <cfRule type="cellIs" dxfId="388" priority="215" operator="between">
      <formula>0.001</formula>
      <formula>0.01</formula>
    </cfRule>
    <cfRule type="cellIs" dxfId="387" priority="216" operator="between">
      <formula>0.1</formula>
      <formula>1</formula>
    </cfRule>
    <cfRule type="cellIs" dxfId="386" priority="217" operator="greaterThanOrEqual">
      <formula>1</formula>
    </cfRule>
    <cfRule type="cellIs" dxfId="385" priority="218" operator="between">
      <formula>0.01</formula>
      <formula>0.1</formula>
    </cfRule>
  </conditionalFormatting>
  <conditionalFormatting sqref="L29 J29">
    <cfRule type="cellIs" dxfId="384" priority="211" operator="between">
      <formula>0.001</formula>
      <formula>0.01</formula>
    </cfRule>
    <cfRule type="cellIs" dxfId="383" priority="212" operator="between">
      <formula>0.1</formula>
      <formula>1</formula>
    </cfRule>
    <cfRule type="cellIs" dxfId="382" priority="213" operator="greaterThanOrEqual">
      <formula>1</formula>
    </cfRule>
    <cfRule type="cellIs" dxfId="381" priority="214" operator="between">
      <formula>0.01</formula>
      <formula>0.1</formula>
    </cfRule>
  </conditionalFormatting>
  <conditionalFormatting sqref="G29 I29">
    <cfRule type="cellIs" dxfId="380" priority="207" operator="between">
      <formula>0.001</formula>
      <formula>0.01</formula>
    </cfRule>
    <cfRule type="cellIs" dxfId="379" priority="208" operator="between">
      <formula>0.1</formula>
      <formula>1</formula>
    </cfRule>
    <cfRule type="cellIs" dxfId="378" priority="209" operator="greaterThanOrEqual">
      <formula>1</formula>
    </cfRule>
    <cfRule type="cellIs" dxfId="377" priority="210" operator="between">
      <formula>0.01</formula>
      <formula>0.1</formula>
    </cfRule>
  </conditionalFormatting>
  <conditionalFormatting sqref="H29 F29">
    <cfRule type="cellIs" dxfId="376" priority="203" operator="between">
      <formula>0.001</formula>
      <formula>0.01</formula>
    </cfRule>
    <cfRule type="cellIs" dxfId="375" priority="204" operator="between">
      <formula>0.1</formula>
      <formula>1</formula>
    </cfRule>
    <cfRule type="cellIs" dxfId="374" priority="205" operator="greaterThanOrEqual">
      <formula>1</formula>
    </cfRule>
    <cfRule type="cellIs" dxfId="373" priority="206" operator="between">
      <formula>0.01</formula>
      <formula>0.1</formula>
    </cfRule>
  </conditionalFormatting>
  <conditionalFormatting sqref="F29">
    <cfRule type="expression" dxfId="372" priority="201">
      <formula>$F$33&lt;=1</formula>
    </cfRule>
    <cfRule type="expression" dxfId="371" priority="202">
      <formula>$F$33&gt;1</formula>
    </cfRule>
  </conditionalFormatting>
  <conditionalFormatting sqref="I29">
    <cfRule type="expression" dxfId="370" priority="195">
      <formula>$I$33&gt;1</formula>
    </cfRule>
    <cfRule type="expression" dxfId="369" priority="198">
      <formula>$I$33&lt;=1</formula>
    </cfRule>
  </conditionalFormatting>
  <conditionalFormatting sqref="H29">
    <cfRule type="expression" dxfId="368" priority="196">
      <formula>$H$33&gt;1</formula>
    </cfRule>
    <cfRule type="expression" dxfId="367" priority="199">
      <formula>$H$33&lt;=1</formula>
    </cfRule>
  </conditionalFormatting>
  <conditionalFormatting sqref="G29">
    <cfRule type="expression" dxfId="366" priority="197">
      <formula>$G$33&gt;1</formula>
    </cfRule>
    <cfRule type="expression" dxfId="365" priority="200">
      <formula>$G$33&lt;=1</formula>
    </cfRule>
  </conditionalFormatting>
  <conditionalFormatting sqref="C29 E29">
    <cfRule type="cellIs" dxfId="364" priority="191" operator="between">
      <formula>0.001</formula>
      <formula>0.01</formula>
    </cfRule>
    <cfRule type="cellIs" dxfId="363" priority="192" operator="between">
      <formula>0.1</formula>
      <formula>1</formula>
    </cfRule>
    <cfRule type="cellIs" dxfId="362" priority="193" operator="greaterThanOrEqual">
      <formula>1</formula>
    </cfRule>
    <cfRule type="cellIs" dxfId="361" priority="194" operator="between">
      <formula>0.01</formula>
      <formula>0.1</formula>
    </cfRule>
  </conditionalFormatting>
  <conditionalFormatting sqref="D29 B29">
    <cfRule type="cellIs" dxfId="360" priority="187" operator="between">
      <formula>0.001</formula>
      <formula>0.01</formula>
    </cfRule>
    <cfRule type="cellIs" dxfId="359" priority="188" operator="between">
      <formula>0.1</formula>
      <formula>1</formula>
    </cfRule>
    <cfRule type="cellIs" dxfId="358" priority="189" operator="greaterThanOrEqual">
      <formula>1</formula>
    </cfRule>
    <cfRule type="cellIs" dxfId="357" priority="190" operator="between">
      <formula>0.01</formula>
      <formula>0.1</formula>
    </cfRule>
  </conditionalFormatting>
  <conditionalFormatting sqref="B33:Q33 B29:Q29">
    <cfRule type="cellIs" dxfId="356" priority="185" operator="equal">
      <formula>0</formula>
    </cfRule>
    <cfRule type="cellIs" dxfId="355" priority="186" operator="between">
      <formula>0.0001</formula>
      <formula>0.001</formula>
    </cfRule>
  </conditionalFormatting>
  <conditionalFormatting sqref="B33">
    <cfRule type="expression" dxfId="354" priority="307">
      <formula>B33&lt;=1</formula>
    </cfRule>
    <cfRule type="expression" dxfId="353" priority="308">
      <formula>B33&gt;1</formula>
    </cfRule>
  </conditionalFormatting>
  <conditionalFormatting sqref="C33">
    <cfRule type="expression" dxfId="352" priority="179">
      <formula>C33&gt;1</formula>
    </cfRule>
    <cfRule type="expression" dxfId="351" priority="182">
      <formula>C33&lt;=1</formula>
    </cfRule>
  </conditionalFormatting>
  <conditionalFormatting sqref="D33">
    <cfRule type="expression" dxfId="350" priority="180">
      <formula>D33&gt;1</formula>
    </cfRule>
    <cfRule type="expression" dxfId="349" priority="183">
      <formula>D33&lt;=1</formula>
    </cfRule>
  </conditionalFormatting>
  <conditionalFormatting sqref="E33">
    <cfRule type="expression" dxfId="348" priority="181">
      <formula>E33&gt;1</formula>
    </cfRule>
    <cfRule type="expression" dxfId="347" priority="184">
      <formula>E33&lt;=1</formula>
    </cfRule>
  </conditionalFormatting>
  <conditionalFormatting sqref="C29:E29">
    <cfRule type="cellIs" dxfId="346" priority="175" operator="between">
      <formula>0.001</formula>
      <formula>0.01</formula>
    </cfRule>
    <cfRule type="cellIs" dxfId="345" priority="176" operator="between">
      <formula>0.1</formula>
      <formula>1</formula>
    </cfRule>
    <cfRule type="cellIs" dxfId="344" priority="177" operator="greaterThanOrEqual">
      <formula>1</formula>
    </cfRule>
    <cfRule type="cellIs" dxfId="343" priority="178" operator="between">
      <formula>0.01</formula>
      <formula>0.1</formula>
    </cfRule>
  </conditionalFormatting>
  <conditionalFormatting sqref="B29:D29">
    <cfRule type="cellIs" dxfId="342" priority="171" operator="between">
      <formula>0.001</formula>
      <formula>0.01</formula>
    </cfRule>
    <cfRule type="cellIs" dxfId="341" priority="172" operator="between">
      <formula>0.1</formula>
      <formula>1</formula>
    </cfRule>
    <cfRule type="cellIs" dxfId="340" priority="173" operator="greaterThanOrEqual">
      <formula>1</formula>
    </cfRule>
    <cfRule type="cellIs" dxfId="339" priority="174" operator="between">
      <formula>0.01</formula>
      <formula>0.1</formula>
    </cfRule>
  </conditionalFormatting>
  <conditionalFormatting sqref="B29">
    <cfRule type="expression" dxfId="338" priority="169">
      <formula>B29&lt;=1</formula>
    </cfRule>
    <cfRule type="expression" dxfId="337" priority="170">
      <formula>B29&gt;1</formula>
    </cfRule>
  </conditionalFormatting>
  <conditionalFormatting sqref="C29">
    <cfRule type="expression" dxfId="336" priority="163">
      <formula>C29&gt;1</formula>
    </cfRule>
    <cfRule type="expression" dxfId="335" priority="166">
      <formula>C29&lt;=1</formula>
    </cfRule>
  </conditionalFormatting>
  <conditionalFormatting sqref="D29">
    <cfRule type="expression" dxfId="334" priority="164">
      <formula>D29&gt;1</formula>
    </cfRule>
    <cfRule type="expression" dxfId="333" priority="167">
      <formula>D29&lt;=1</formula>
    </cfRule>
  </conditionalFormatting>
  <conditionalFormatting sqref="E29">
    <cfRule type="expression" dxfId="332" priority="165">
      <formula>E29&gt;1</formula>
    </cfRule>
    <cfRule type="expression" dxfId="331" priority="168">
      <formula>E29&lt;=1</formula>
    </cfRule>
  </conditionalFormatting>
  <conditionalFormatting sqref="G33:I33">
    <cfRule type="cellIs" dxfId="330" priority="159" operator="between">
      <formula>0.001</formula>
      <formula>0.01</formula>
    </cfRule>
    <cfRule type="cellIs" dxfId="329" priority="160" operator="between">
      <formula>0.1</formula>
      <formula>1</formula>
    </cfRule>
    <cfRule type="cellIs" dxfId="328" priority="161" operator="greaterThanOrEqual">
      <formula>1</formula>
    </cfRule>
    <cfRule type="cellIs" dxfId="327" priority="162" operator="between">
      <formula>0.01</formula>
      <formula>0.1</formula>
    </cfRule>
  </conditionalFormatting>
  <conditionalFormatting sqref="F33:H33">
    <cfRule type="cellIs" dxfId="326" priority="155" operator="between">
      <formula>0.001</formula>
      <formula>0.01</formula>
    </cfRule>
    <cfRule type="cellIs" dxfId="325" priority="156" operator="between">
      <formula>0.1</formula>
      <formula>1</formula>
    </cfRule>
    <cfRule type="cellIs" dxfId="324" priority="157" operator="greaterThanOrEqual">
      <formula>1</formula>
    </cfRule>
    <cfRule type="cellIs" dxfId="323" priority="158" operator="between">
      <formula>0.01</formula>
      <formula>0.1</formula>
    </cfRule>
  </conditionalFormatting>
  <conditionalFormatting sqref="F33">
    <cfRule type="expression" dxfId="322" priority="153">
      <formula>F33&lt;=1</formula>
    </cfRule>
    <cfRule type="expression" dxfId="321" priority="154">
      <formula>F33&gt;1</formula>
    </cfRule>
  </conditionalFormatting>
  <conditionalFormatting sqref="G33">
    <cfRule type="expression" dxfId="320" priority="147">
      <formula>G33&gt;1</formula>
    </cfRule>
    <cfRule type="expression" dxfId="319" priority="150">
      <formula>G33&lt;=1</formula>
    </cfRule>
  </conditionalFormatting>
  <conditionalFormatting sqref="H33">
    <cfRule type="expression" dxfId="318" priority="148">
      <formula>H33&gt;1</formula>
    </cfRule>
    <cfRule type="expression" dxfId="317" priority="151">
      <formula>H33&lt;=1</formula>
    </cfRule>
  </conditionalFormatting>
  <conditionalFormatting sqref="I33">
    <cfRule type="expression" dxfId="316" priority="149">
      <formula>I33&gt;1</formula>
    </cfRule>
    <cfRule type="expression" dxfId="315" priority="152">
      <formula>I33&lt;=1</formula>
    </cfRule>
  </conditionalFormatting>
  <conditionalFormatting sqref="G29 I29">
    <cfRule type="cellIs" dxfId="314" priority="143" operator="between">
      <formula>0.001</formula>
      <formula>0.01</formula>
    </cfRule>
    <cfRule type="cellIs" dxfId="313" priority="144" operator="between">
      <formula>0.1</formula>
      <formula>1</formula>
    </cfRule>
    <cfRule type="cellIs" dxfId="312" priority="145" operator="greaterThanOrEqual">
      <formula>1</formula>
    </cfRule>
    <cfRule type="cellIs" dxfId="311" priority="146" operator="between">
      <formula>0.01</formula>
      <formula>0.1</formula>
    </cfRule>
  </conditionalFormatting>
  <conditionalFormatting sqref="H29 F29">
    <cfRule type="cellIs" dxfId="310" priority="139" operator="between">
      <formula>0.001</formula>
      <formula>0.01</formula>
    </cfRule>
    <cfRule type="cellIs" dxfId="309" priority="140" operator="between">
      <formula>0.1</formula>
      <formula>1</formula>
    </cfRule>
    <cfRule type="cellIs" dxfId="308" priority="141" operator="greaterThanOrEqual">
      <formula>1</formula>
    </cfRule>
    <cfRule type="cellIs" dxfId="307" priority="142" operator="between">
      <formula>0.01</formula>
      <formula>0.1</formula>
    </cfRule>
  </conditionalFormatting>
  <conditionalFormatting sqref="G29:I29">
    <cfRule type="cellIs" dxfId="306" priority="135" operator="between">
      <formula>0.001</formula>
      <formula>0.01</formula>
    </cfRule>
    <cfRule type="cellIs" dxfId="305" priority="136" operator="between">
      <formula>0.1</formula>
      <formula>1</formula>
    </cfRule>
    <cfRule type="cellIs" dxfId="304" priority="137" operator="greaterThanOrEqual">
      <formula>1</formula>
    </cfRule>
    <cfRule type="cellIs" dxfId="303" priority="138" operator="between">
      <formula>0.01</formula>
      <formula>0.1</formula>
    </cfRule>
  </conditionalFormatting>
  <conditionalFormatting sqref="F29:H29">
    <cfRule type="cellIs" dxfId="302" priority="131" operator="between">
      <formula>0.001</formula>
      <formula>0.01</formula>
    </cfRule>
    <cfRule type="cellIs" dxfId="301" priority="132" operator="between">
      <formula>0.1</formula>
      <formula>1</formula>
    </cfRule>
    <cfRule type="cellIs" dxfId="300" priority="133" operator="greaterThanOrEqual">
      <formula>1</formula>
    </cfRule>
    <cfRule type="cellIs" dxfId="299" priority="134" operator="between">
      <formula>0.01</formula>
      <formula>0.1</formula>
    </cfRule>
  </conditionalFormatting>
  <conditionalFormatting sqref="F29">
    <cfRule type="expression" dxfId="298" priority="129">
      <formula>F29&lt;=1</formula>
    </cfRule>
    <cfRule type="expression" dxfId="297" priority="130">
      <formula>F29&gt;1</formula>
    </cfRule>
  </conditionalFormatting>
  <conditionalFormatting sqref="G29">
    <cfRule type="expression" dxfId="296" priority="123">
      <formula>G29&gt;1</formula>
    </cfRule>
    <cfRule type="expression" dxfId="295" priority="126">
      <formula>G29&lt;=1</formula>
    </cfRule>
  </conditionalFormatting>
  <conditionalFormatting sqref="H29">
    <cfRule type="expression" dxfId="294" priority="124">
      <formula>H29&gt;1</formula>
    </cfRule>
    <cfRule type="expression" dxfId="293" priority="127">
      <formula>H29&lt;=1</formula>
    </cfRule>
  </conditionalFormatting>
  <conditionalFormatting sqref="I29">
    <cfRule type="expression" dxfId="292" priority="125">
      <formula>I29&gt;1</formula>
    </cfRule>
    <cfRule type="expression" dxfId="291" priority="128">
      <formula>I29&lt;=1</formula>
    </cfRule>
  </conditionalFormatting>
  <conditionalFormatting sqref="K29 M29 O29 Q29">
    <cfRule type="cellIs" dxfId="290" priority="119" operator="between">
      <formula>0.001</formula>
      <formula>0.01</formula>
    </cfRule>
    <cfRule type="cellIs" dxfId="289" priority="120" operator="between">
      <formula>0.1</formula>
      <formula>1</formula>
    </cfRule>
    <cfRule type="cellIs" dxfId="288" priority="121" operator="greaterThanOrEqual">
      <formula>1</formula>
    </cfRule>
    <cfRule type="cellIs" dxfId="287" priority="122" operator="between">
      <formula>0.01</formula>
      <formula>0.1</formula>
    </cfRule>
  </conditionalFormatting>
  <conditionalFormatting sqref="L29 J29 P29 N29">
    <cfRule type="cellIs" dxfId="286" priority="115" operator="between">
      <formula>0.001</formula>
      <formula>0.01</formula>
    </cfRule>
    <cfRule type="cellIs" dxfId="285" priority="116" operator="between">
      <formula>0.1</formula>
      <formula>1</formula>
    </cfRule>
    <cfRule type="cellIs" dxfId="284" priority="117" operator="greaterThanOrEqual">
      <formula>1</formula>
    </cfRule>
    <cfRule type="cellIs" dxfId="283" priority="118" operator="between">
      <formula>0.01</formula>
      <formula>0.1</formula>
    </cfRule>
  </conditionalFormatting>
  <conditionalFormatting sqref="K29 M29 O29 Q29">
    <cfRule type="cellIs" dxfId="282" priority="111" operator="between">
      <formula>0.001</formula>
      <formula>0.01</formula>
    </cfRule>
    <cfRule type="cellIs" dxfId="281" priority="112" operator="between">
      <formula>0.1</formula>
      <formula>1</formula>
    </cfRule>
    <cfRule type="cellIs" dxfId="280" priority="113" operator="greaterThanOrEqual">
      <formula>1</formula>
    </cfRule>
    <cfRule type="cellIs" dxfId="279" priority="114" operator="between">
      <formula>0.01</formula>
      <formula>0.1</formula>
    </cfRule>
  </conditionalFormatting>
  <conditionalFormatting sqref="L29 J29 P29 N29">
    <cfRule type="cellIs" dxfId="278" priority="107" operator="between">
      <formula>0.001</formula>
      <formula>0.01</formula>
    </cfRule>
    <cfRule type="cellIs" dxfId="277" priority="108" operator="between">
      <formula>0.1</formula>
      <formula>1</formula>
    </cfRule>
    <cfRule type="cellIs" dxfId="276" priority="109" operator="greaterThanOrEqual">
      <formula>1</formula>
    </cfRule>
    <cfRule type="cellIs" dxfId="275" priority="110" operator="between">
      <formula>0.01</formula>
      <formula>0.1</formula>
    </cfRule>
  </conditionalFormatting>
  <conditionalFormatting sqref="K29:M29 O29:Q29">
    <cfRule type="cellIs" dxfId="274" priority="103" operator="between">
      <formula>0.001</formula>
      <formula>0.01</formula>
    </cfRule>
    <cfRule type="cellIs" dxfId="273" priority="104" operator="between">
      <formula>0.1</formula>
      <formula>1</formula>
    </cfRule>
    <cfRule type="cellIs" dxfId="272" priority="105" operator="greaterThanOrEqual">
      <formula>1</formula>
    </cfRule>
    <cfRule type="cellIs" dxfId="271" priority="106" operator="between">
      <formula>0.01</formula>
      <formula>0.1</formula>
    </cfRule>
  </conditionalFormatting>
  <conditionalFormatting sqref="J29:L29 N29:P29">
    <cfRule type="cellIs" dxfId="270" priority="99" operator="between">
      <formula>0.001</formula>
      <formula>0.01</formula>
    </cfRule>
    <cfRule type="cellIs" dxfId="269" priority="100" operator="between">
      <formula>0.1</formula>
      <formula>1</formula>
    </cfRule>
    <cfRule type="cellIs" dxfId="268" priority="101" operator="greaterThanOrEqual">
      <formula>1</formula>
    </cfRule>
    <cfRule type="cellIs" dxfId="267" priority="102" operator="between">
      <formula>0.01</formula>
      <formula>0.1</formula>
    </cfRule>
  </conditionalFormatting>
  <conditionalFormatting sqref="K29 M29">
    <cfRule type="cellIs" dxfId="266" priority="95" operator="between">
      <formula>0.001</formula>
      <formula>0.01</formula>
    </cfRule>
    <cfRule type="cellIs" dxfId="265" priority="96" operator="between">
      <formula>0.1</formula>
      <formula>1</formula>
    </cfRule>
    <cfRule type="cellIs" dxfId="264" priority="97" operator="greaterThanOrEqual">
      <formula>1</formula>
    </cfRule>
    <cfRule type="cellIs" dxfId="263" priority="98" operator="between">
      <formula>0.01</formula>
      <formula>0.1</formula>
    </cfRule>
  </conditionalFormatting>
  <conditionalFormatting sqref="L29 J29">
    <cfRule type="cellIs" dxfId="262" priority="91" operator="between">
      <formula>0.001</formula>
      <formula>0.01</formula>
    </cfRule>
    <cfRule type="cellIs" dxfId="261" priority="92" operator="between">
      <formula>0.1</formula>
      <formula>1</formula>
    </cfRule>
    <cfRule type="cellIs" dxfId="260" priority="93" operator="greaterThanOrEqual">
      <formula>1</formula>
    </cfRule>
    <cfRule type="cellIs" dxfId="259" priority="94" operator="between">
      <formula>0.01</formula>
      <formula>0.1</formula>
    </cfRule>
  </conditionalFormatting>
  <conditionalFormatting sqref="J29">
    <cfRule type="expression" dxfId="258" priority="89">
      <formula>$F$33&lt;=1</formula>
    </cfRule>
    <cfRule type="expression" dxfId="257" priority="90">
      <formula>$F$33&gt;1</formula>
    </cfRule>
  </conditionalFormatting>
  <conditionalFormatting sqref="M29">
    <cfRule type="expression" dxfId="256" priority="83">
      <formula>$I$33&gt;1</formula>
    </cfRule>
    <cfRule type="expression" dxfId="255" priority="86">
      <formula>$I$33&lt;=1</formula>
    </cfRule>
  </conditionalFormatting>
  <conditionalFormatting sqref="L29">
    <cfRule type="expression" dxfId="254" priority="84">
      <formula>$H$33&gt;1</formula>
    </cfRule>
    <cfRule type="expression" dxfId="253" priority="87">
      <formula>$H$33&lt;=1</formula>
    </cfRule>
  </conditionalFormatting>
  <conditionalFormatting sqref="K29">
    <cfRule type="expression" dxfId="252" priority="85">
      <formula>$G$33&gt;1</formula>
    </cfRule>
    <cfRule type="expression" dxfId="251" priority="88">
      <formula>$G$33&lt;=1</formula>
    </cfRule>
  </conditionalFormatting>
  <conditionalFormatting sqref="K29 M29">
    <cfRule type="cellIs" dxfId="250" priority="79" operator="between">
      <formula>0.001</formula>
      <formula>0.01</formula>
    </cfRule>
    <cfRule type="cellIs" dxfId="249" priority="80" operator="between">
      <formula>0.1</formula>
      <formula>1</formula>
    </cfRule>
    <cfRule type="cellIs" dxfId="248" priority="81" operator="greaterThanOrEqual">
      <formula>1</formula>
    </cfRule>
    <cfRule type="cellIs" dxfId="247" priority="82" operator="between">
      <formula>0.01</formula>
      <formula>0.1</formula>
    </cfRule>
  </conditionalFormatting>
  <conditionalFormatting sqref="L29 J29">
    <cfRule type="cellIs" dxfId="246" priority="75" operator="between">
      <formula>0.001</formula>
      <formula>0.01</formula>
    </cfRule>
    <cfRule type="cellIs" dxfId="245" priority="76" operator="between">
      <formula>0.1</formula>
      <formula>1</formula>
    </cfRule>
    <cfRule type="cellIs" dxfId="244" priority="77" operator="greaterThanOrEqual">
      <formula>1</formula>
    </cfRule>
    <cfRule type="cellIs" dxfId="243" priority="78" operator="between">
      <formula>0.01</formula>
      <formula>0.1</formula>
    </cfRule>
  </conditionalFormatting>
  <conditionalFormatting sqref="K29:M29">
    <cfRule type="cellIs" dxfId="242" priority="71" operator="between">
      <formula>0.001</formula>
      <formula>0.01</formula>
    </cfRule>
    <cfRule type="cellIs" dxfId="241" priority="72" operator="between">
      <formula>0.1</formula>
      <formula>1</formula>
    </cfRule>
    <cfRule type="cellIs" dxfId="240" priority="73" operator="greaterThanOrEqual">
      <formula>1</formula>
    </cfRule>
    <cfRule type="cellIs" dxfId="239" priority="74" operator="between">
      <formula>0.01</formula>
      <formula>0.1</formula>
    </cfRule>
  </conditionalFormatting>
  <conditionalFormatting sqref="J29:L29">
    <cfRule type="cellIs" dxfId="238" priority="67" operator="between">
      <formula>0.001</formula>
      <formula>0.01</formula>
    </cfRule>
    <cfRule type="cellIs" dxfId="237" priority="68" operator="between">
      <formula>0.1</formula>
      <formula>1</formula>
    </cfRule>
    <cfRule type="cellIs" dxfId="236" priority="69" operator="greaterThanOrEqual">
      <formula>1</formula>
    </cfRule>
    <cfRule type="cellIs" dxfId="235" priority="70" operator="between">
      <formula>0.01</formula>
      <formula>0.1</formula>
    </cfRule>
  </conditionalFormatting>
  <conditionalFormatting sqref="J29">
    <cfRule type="expression" dxfId="234" priority="65">
      <formula>J29&lt;=1</formula>
    </cfRule>
    <cfRule type="expression" dxfId="233" priority="66">
      <formula>J29&gt;1</formula>
    </cfRule>
  </conditionalFormatting>
  <conditionalFormatting sqref="K29">
    <cfRule type="expression" dxfId="232" priority="59">
      <formula>K29&gt;1</formula>
    </cfRule>
    <cfRule type="expression" dxfId="231" priority="62">
      <formula>K29&lt;=1</formula>
    </cfRule>
  </conditionalFormatting>
  <conditionalFormatting sqref="L29">
    <cfRule type="expression" dxfId="230" priority="60">
      <formula>L29&gt;1</formula>
    </cfRule>
    <cfRule type="expression" dxfId="229" priority="63">
      <formula>L29&lt;=1</formula>
    </cfRule>
  </conditionalFormatting>
  <conditionalFormatting sqref="M29">
    <cfRule type="expression" dxfId="228" priority="61">
      <formula>M29&gt;1</formula>
    </cfRule>
    <cfRule type="expression" dxfId="227" priority="64">
      <formula>M29&lt;=1</formula>
    </cfRule>
  </conditionalFormatting>
  <conditionalFormatting sqref="O29 Q29">
    <cfRule type="cellIs" dxfId="226" priority="55" operator="between">
      <formula>0.001</formula>
      <formula>0.01</formula>
    </cfRule>
    <cfRule type="cellIs" dxfId="225" priority="56" operator="between">
      <formula>0.1</formula>
      <formula>1</formula>
    </cfRule>
    <cfRule type="cellIs" dxfId="224" priority="57" operator="greaterThanOrEqual">
      <formula>1</formula>
    </cfRule>
    <cfRule type="cellIs" dxfId="223" priority="58" operator="between">
      <formula>0.01</formula>
      <formula>0.1</formula>
    </cfRule>
  </conditionalFormatting>
  <conditionalFormatting sqref="P29 N29">
    <cfRule type="cellIs" dxfId="222" priority="51" operator="between">
      <formula>0.001</formula>
      <formula>0.01</formula>
    </cfRule>
    <cfRule type="cellIs" dxfId="221" priority="52" operator="between">
      <formula>0.1</formula>
      <formula>1</formula>
    </cfRule>
    <cfRule type="cellIs" dxfId="220" priority="53" operator="greaterThanOrEqual">
      <formula>1</formula>
    </cfRule>
    <cfRule type="cellIs" dxfId="219" priority="54" operator="between">
      <formula>0.01</formula>
      <formula>0.1</formula>
    </cfRule>
  </conditionalFormatting>
  <conditionalFormatting sqref="O29 Q29">
    <cfRule type="cellIs" dxfId="218" priority="47" operator="between">
      <formula>0.001</formula>
      <formula>0.01</formula>
    </cfRule>
    <cfRule type="cellIs" dxfId="217" priority="48" operator="between">
      <formula>0.1</formula>
      <formula>1</formula>
    </cfRule>
    <cfRule type="cellIs" dxfId="216" priority="49" operator="greaterThanOrEqual">
      <formula>1</formula>
    </cfRule>
    <cfRule type="cellIs" dxfId="215" priority="50" operator="between">
      <formula>0.01</formula>
      <formula>0.1</formula>
    </cfRule>
  </conditionalFormatting>
  <conditionalFormatting sqref="P29 N29">
    <cfRule type="cellIs" dxfId="214" priority="43" operator="between">
      <formula>0.001</formula>
      <formula>0.01</formula>
    </cfRule>
    <cfRule type="cellIs" dxfId="213" priority="44" operator="between">
      <formula>0.1</formula>
      <formula>1</formula>
    </cfRule>
    <cfRule type="cellIs" dxfId="212" priority="45" operator="greaterThanOrEqual">
      <formula>1</formula>
    </cfRule>
    <cfRule type="cellIs" dxfId="211" priority="46" operator="between">
      <formula>0.01</formula>
      <formula>0.1</formula>
    </cfRule>
  </conditionalFormatting>
  <conditionalFormatting sqref="O29 Q29">
    <cfRule type="cellIs" dxfId="210" priority="39" operator="between">
      <formula>0.001</formula>
      <formula>0.01</formula>
    </cfRule>
    <cfRule type="cellIs" dxfId="209" priority="40" operator="between">
      <formula>0.1</formula>
      <formula>1</formula>
    </cfRule>
    <cfRule type="cellIs" dxfId="208" priority="41" operator="greaterThanOrEqual">
      <formula>1</formula>
    </cfRule>
    <cfRule type="cellIs" dxfId="207" priority="42" operator="between">
      <formula>0.01</formula>
      <formula>0.1</formula>
    </cfRule>
  </conditionalFormatting>
  <conditionalFormatting sqref="P29 N29">
    <cfRule type="cellIs" dxfId="206" priority="35" operator="between">
      <formula>0.001</formula>
      <formula>0.01</formula>
    </cfRule>
    <cfRule type="cellIs" dxfId="205" priority="36" operator="between">
      <formula>0.1</formula>
      <formula>1</formula>
    </cfRule>
    <cfRule type="cellIs" dxfId="204" priority="37" operator="greaterThanOrEqual">
      <formula>1</formula>
    </cfRule>
    <cfRule type="cellIs" dxfId="203" priority="38" operator="between">
      <formula>0.01</formula>
      <formula>0.1</formula>
    </cfRule>
  </conditionalFormatting>
  <conditionalFormatting sqref="O29:Q29">
    <cfRule type="cellIs" dxfId="202" priority="31" operator="between">
      <formula>0.001</formula>
      <formula>0.01</formula>
    </cfRule>
    <cfRule type="cellIs" dxfId="201" priority="32" operator="between">
      <formula>0.1</formula>
      <formula>1</formula>
    </cfRule>
    <cfRule type="cellIs" dxfId="200" priority="33" operator="greaterThanOrEqual">
      <formula>1</formula>
    </cfRule>
    <cfRule type="cellIs" dxfId="199" priority="34" operator="between">
      <formula>0.01</formula>
      <formula>0.1</formula>
    </cfRule>
  </conditionalFormatting>
  <conditionalFormatting sqref="N29:P29">
    <cfRule type="cellIs" dxfId="198" priority="27" operator="between">
      <formula>0.001</formula>
      <formula>0.01</formula>
    </cfRule>
    <cfRule type="cellIs" dxfId="197" priority="28" operator="between">
      <formula>0.1</formula>
      <formula>1</formula>
    </cfRule>
    <cfRule type="cellIs" dxfId="196" priority="29" operator="greaterThanOrEqual">
      <formula>1</formula>
    </cfRule>
    <cfRule type="cellIs" dxfId="195" priority="30" operator="between">
      <formula>0.01</formula>
      <formula>0.1</formula>
    </cfRule>
  </conditionalFormatting>
  <conditionalFormatting sqref="N29">
    <cfRule type="expression" dxfId="194" priority="25">
      <formula>N29&lt;=1</formula>
    </cfRule>
    <cfRule type="expression" dxfId="193" priority="26">
      <formula>N29&gt;1</formula>
    </cfRule>
  </conditionalFormatting>
  <conditionalFormatting sqref="O29">
    <cfRule type="expression" dxfId="192" priority="19">
      <formula>O29&gt;1</formula>
    </cfRule>
    <cfRule type="expression" dxfId="191" priority="22">
      <formula>O29&lt;=1</formula>
    </cfRule>
  </conditionalFormatting>
  <conditionalFormatting sqref="P29">
    <cfRule type="expression" dxfId="190" priority="20">
      <formula>P29&gt;1</formula>
    </cfRule>
    <cfRule type="expression" dxfId="189" priority="23">
      <formula>P29&lt;=1</formula>
    </cfRule>
  </conditionalFormatting>
  <conditionalFormatting sqref="Q29">
    <cfRule type="expression" dxfId="188" priority="21">
      <formula>Q29&gt;1</formula>
    </cfRule>
    <cfRule type="expression" dxfId="187" priority="24">
      <formula>Q29&lt;=1</formula>
    </cfRule>
  </conditionalFormatting>
  <conditionalFormatting sqref="B27:Q28">
    <cfRule type="cellIs" dxfId="186" priority="10" operator="between">
      <formula>0.0001</formula>
      <formula>0.001</formula>
    </cfRule>
    <cfRule type="cellIs" dxfId="185" priority="12" operator="greaterThanOrEqual">
      <formula>10</formula>
    </cfRule>
    <cfRule type="cellIs" dxfId="184" priority="13" operator="between">
      <formula>1</formula>
      <formula>10</formula>
    </cfRule>
    <cfRule type="cellIs" dxfId="183" priority="14" operator="between">
      <formula>0.1</formula>
      <formula>1</formula>
    </cfRule>
    <cfRule type="cellIs" dxfId="182" priority="15" operator="between">
      <formula>0.001</formula>
      <formula>0.01</formula>
    </cfRule>
    <cfRule type="cellIs" dxfId="181" priority="16" operator="between">
      <formula>0</formula>
      <formula>0.0001</formula>
    </cfRule>
    <cfRule type="cellIs" dxfId="180" priority="17" operator="between">
      <formula>0.01</formula>
      <formula>0.1</formula>
    </cfRule>
  </conditionalFormatting>
  <conditionalFormatting sqref="B27:Q28">
    <cfRule type="cellIs" dxfId="179" priority="11" operator="equal">
      <formula>0</formula>
    </cfRule>
  </conditionalFormatting>
  <conditionalFormatting sqref="B37:Q51">
    <cfRule type="cellIs" dxfId="178" priority="9" operator="between">
      <formula>0.00000000001</formula>
      <formula>0.0001</formula>
    </cfRule>
    <cfRule type="cellIs" dxfId="177" priority="357" operator="equal">
      <formula>0</formula>
    </cfRule>
    <cfRule type="cellIs" dxfId="176" priority="358" operator="greaterThanOrEqual">
      <formula>10</formula>
    </cfRule>
    <cfRule type="cellIs" dxfId="175" priority="359" operator="between">
      <formula>1</formula>
      <formula>10</formula>
    </cfRule>
    <cfRule type="cellIs" dxfId="174" priority="360" operator="between">
      <formula>0.1</formula>
      <formula>1</formula>
    </cfRule>
    <cfRule type="cellIs" dxfId="173" priority="361" operator="between">
      <formula>0.001</formula>
      <formula>0.01</formula>
    </cfRule>
    <cfRule type="cellIs" dxfId="172" priority="362" operator="between">
      <formula>0</formula>
      <formula>0.001</formula>
    </cfRule>
    <cfRule type="cellIs" dxfId="171" priority="363" operator="between">
      <formula>0.01</formula>
      <formula>0.1</formula>
    </cfRule>
  </conditionalFormatting>
  <conditionalFormatting sqref="R27">
    <cfRule type="cellIs" dxfId="170" priority="3" operator="greaterThanOrEqual">
      <formula>10</formula>
    </cfRule>
    <cfRule type="cellIs" dxfId="169" priority="4" operator="between">
      <formula>1</formula>
      <formula>10</formula>
    </cfRule>
    <cfRule type="cellIs" dxfId="168" priority="5" operator="between">
      <formula>0.1</formula>
      <formula>1</formula>
    </cfRule>
    <cfRule type="cellIs" dxfId="167" priority="6" operator="between">
      <formula>0.001</formula>
      <formula>0.01</formula>
    </cfRule>
    <cfRule type="cellIs" dxfId="166" priority="7" operator="between">
      <formula>0</formula>
      <formula>0.001</formula>
    </cfRule>
    <cfRule type="cellIs" dxfId="165" priority="8" operator="between">
      <formula>0.01</formula>
      <formula>0.1</formula>
    </cfRule>
  </conditionalFormatting>
  <conditionalFormatting sqref="R27">
    <cfRule type="cellIs" dxfId="164" priority="2" operator="equal">
      <formula>0</formula>
    </cfRule>
  </conditionalFormatting>
  <dataValidations count="1">
    <dataValidation type="list" allowBlank="1" showInputMessage="1" showErrorMessage="1" sqref="E4:E5" xr:uid="{EC229A91-67E9-4389-9626-6A6D6664B493}">
      <formula1>Boolean</formula1>
    </dataValidation>
  </dataValidations>
  <pageMargins left="0.7" right="0.7" top="0.75" bottom="0.75" header="0.51180555555555496" footer="0.51180555555555496"/>
  <pageSetup paperSize="9" firstPageNumber="0" orientation="landscape" horizontalDpi="300" verticalDpi="300" r:id="rId1"/>
  <headerFooter>
    <oddFooter>&amp;C&amp;1#&amp;"Arial"&amp;10&amp;K000000---Internal Use---</oddFooter>
  </headerFooter>
  <rowBreaks count="1" manualBreakCount="1">
    <brk id="42" max="16383" man="1"/>
  </rowBreaks>
  <ignoredErrors>
    <ignoredError sqref="H47:I47 J47:O47 P47:Q47 J37:Q46 J48:Q51 F47:G47 F37:G46 F48:G51" formula="1"/>
  </ignoredErrors>
  <legacy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B5D2DE-9ACD-4FD4-A223-A01D016B3286}">
  <sheetPr codeName="Tabelle31"/>
  <dimension ref="A1:J35"/>
  <sheetViews>
    <sheetView workbookViewId="0"/>
  </sheetViews>
  <sheetFormatPr defaultColWidth="9.140625" defaultRowHeight="15"/>
  <cols>
    <col min="1" max="1" width="35.42578125" customWidth="1"/>
    <col min="2" max="5" width="17.7109375" customWidth="1"/>
    <col min="6" max="9" width="17.7109375" hidden="1" customWidth="1"/>
    <col min="10" max="10" width="19.85546875" customWidth="1"/>
    <col min="11" max="11" width="47.42578125" customWidth="1"/>
    <col min="16" max="16" width="15.5703125" bestFit="1" customWidth="1"/>
  </cols>
  <sheetData>
    <row r="1" spans="1:10" ht="19.5" thickBot="1">
      <c r="A1" s="22" t="str">
        <f>"Recreational exposure for "&amp;i_ProductName</f>
        <v xml:space="preserve">Recreational exposure for </v>
      </c>
      <c r="C1" s="359" t="str">
        <f>IF(i_CropType = "Amenity grassland","","This sheet is only to be used for treatment of grassland used for recreational purposes")</f>
        <v>This sheet is only to be used for treatment of grassland used for recreational purposes</v>
      </c>
    </row>
    <row r="2" spans="1:10">
      <c r="A2" s="70" t="s">
        <v>313</v>
      </c>
      <c r="B2" s="71"/>
      <c r="C2" s="63">
        <f>i_CropType</f>
        <v>0</v>
      </c>
      <c r="D2" s="63"/>
      <c r="E2" s="63"/>
      <c r="F2" s="63"/>
      <c r="G2" s="63"/>
      <c r="H2" s="63"/>
      <c r="I2" s="63"/>
      <c r="J2" s="72"/>
    </row>
    <row r="3" spans="1:10">
      <c r="A3" s="678" t="s">
        <v>331</v>
      </c>
      <c r="B3" s="1179">
        <f>i_AppMeth</f>
        <v>0</v>
      </c>
      <c r="C3" s="1179"/>
      <c r="D3" s="1179"/>
      <c r="E3" s="1179"/>
      <c r="F3" s="1179"/>
      <c r="G3" s="1179"/>
      <c r="H3" s="1179"/>
      <c r="I3" s="1179"/>
      <c r="J3" s="73"/>
    </row>
    <row r="4" spans="1:10">
      <c r="A4" s="678" t="s">
        <v>332</v>
      </c>
      <c r="B4" s="677"/>
      <c r="C4" s="677">
        <f>i_AppEquip</f>
        <v>0</v>
      </c>
      <c r="D4" s="677"/>
      <c r="E4" s="677"/>
      <c r="F4" s="677"/>
      <c r="G4" s="677"/>
      <c r="H4" s="677"/>
      <c r="I4" s="677"/>
      <c r="J4" s="74" t="s">
        <v>796</v>
      </c>
    </row>
    <row r="5" spans="1:10" ht="15" customHeight="1">
      <c r="A5" s="678" t="s">
        <v>311</v>
      </c>
      <c r="B5" s="882">
        <f>i_FormVal</f>
        <v>0</v>
      </c>
      <c r="C5" s="882"/>
      <c r="D5" s="882"/>
      <c r="E5" s="222"/>
      <c r="F5" s="222"/>
      <c r="G5" s="222"/>
      <c r="H5" s="222"/>
      <c r="I5" s="222"/>
      <c r="J5" s="74" t="s">
        <v>798</v>
      </c>
    </row>
    <row r="6" spans="1:10" ht="15" customHeight="1" thickBot="1">
      <c r="A6" s="1180" t="s">
        <v>841</v>
      </c>
      <c r="B6" s="1180"/>
      <c r="C6" s="677">
        <f>i_AppRatePPP</f>
        <v>0</v>
      </c>
      <c r="D6" s="1181" t="str">
        <f>'Data entry'!E9</f>
        <v>kg/ha</v>
      </c>
      <c r="E6" s="1181"/>
      <c r="F6" s="1181"/>
      <c r="G6" s="1181"/>
      <c r="H6" s="1181"/>
      <c r="I6" s="1181"/>
      <c r="J6" s="74" t="s">
        <v>842</v>
      </c>
    </row>
    <row r="7" spans="1:10" ht="15" customHeight="1" thickBot="1">
      <c r="A7" s="70"/>
      <c r="B7" s="1083">
        <f>i_SubstName1</f>
        <v>0</v>
      </c>
      <c r="C7" s="1085"/>
      <c r="D7" s="1083">
        <f>i_SubstName2</f>
        <v>0</v>
      </c>
      <c r="E7" s="1085"/>
      <c r="F7" s="1083">
        <f>i_SubstName3</f>
        <v>0</v>
      </c>
      <c r="G7" s="1085"/>
      <c r="H7" s="1083">
        <f>i_SubstName4</f>
        <v>0</v>
      </c>
      <c r="I7" s="1085"/>
      <c r="J7" s="223"/>
    </row>
    <row r="8" spans="1:10" ht="15" customHeight="1">
      <c r="A8" s="675" t="s">
        <v>801</v>
      </c>
      <c r="B8" s="1098">
        <f>i_AppRateAS1</f>
        <v>0</v>
      </c>
      <c r="C8" s="1100"/>
      <c r="D8" s="1098">
        <f>i_AppRateAS2</f>
        <v>0</v>
      </c>
      <c r="E8" s="1100"/>
      <c r="F8" s="1098">
        <f>i_AppRateAS3</f>
        <v>0</v>
      </c>
      <c r="G8" s="1100"/>
      <c r="H8" s="1098">
        <f>i_AppRateAS4</f>
        <v>0</v>
      </c>
      <c r="I8" s="1100"/>
      <c r="J8" s="223" t="s">
        <v>401</v>
      </c>
    </row>
    <row r="9" spans="1:10" ht="30" customHeight="1">
      <c r="A9" s="666" t="str">
        <f>"Concentration of active substance (in-use dilution for liquid applications)"&amp;" "&amp;IF(i_FormVal="Granules, fine granules","(kg a.s./kg)","(g a.s./L)")</f>
        <v>Concentration of active substance (in-use dilution for liquid applications) (g a.s./L)</v>
      </c>
      <c r="B9" s="869" t="e">
        <f>d_ConcAs1</f>
        <v>#DIV/0!</v>
      </c>
      <c r="C9" s="870"/>
      <c r="D9" s="869" t="e">
        <f>d_ConcAs2</f>
        <v>#DIV/0!</v>
      </c>
      <c r="E9" s="870"/>
      <c r="F9" s="869" t="e">
        <f>d_ConcAs3</f>
        <v>#DIV/0!</v>
      </c>
      <c r="G9" s="870"/>
      <c r="H9" s="869" t="e">
        <f>d_ConcAs4</f>
        <v>#DIV/0!</v>
      </c>
      <c r="I9" s="870"/>
      <c r="J9" s="223" t="s">
        <v>802</v>
      </c>
    </row>
    <row r="10" spans="1:10" ht="15" customHeight="1">
      <c r="A10" s="666" t="s">
        <v>354</v>
      </c>
      <c r="B10" s="1006">
        <f>i_AbsorpProduct1</f>
        <v>0</v>
      </c>
      <c r="C10" s="1008"/>
      <c r="D10" s="1006">
        <f>i_AbsorpProduct2</f>
        <v>0</v>
      </c>
      <c r="E10" s="1008"/>
      <c r="F10" s="1006">
        <f>i_AbsorpProduct3</f>
        <v>0</v>
      </c>
      <c r="G10" s="1008"/>
      <c r="H10" s="1006">
        <f>i_AbsorpProduct4</f>
        <v>0</v>
      </c>
      <c r="I10" s="1008"/>
      <c r="J10" s="223" t="s">
        <v>406</v>
      </c>
    </row>
    <row r="11" spans="1:10" ht="15" customHeight="1">
      <c r="A11" s="666" t="s">
        <v>355</v>
      </c>
      <c r="B11" s="1006">
        <f>i_AbsorpInuse1</f>
        <v>0</v>
      </c>
      <c r="C11" s="1008"/>
      <c r="D11" s="1006">
        <f>i_AbsorpInuse2</f>
        <v>0</v>
      </c>
      <c r="E11" s="1008"/>
      <c r="F11" s="1006">
        <f>i_AbsorpInuse3</f>
        <v>0</v>
      </c>
      <c r="G11" s="1008"/>
      <c r="H11" s="1006">
        <f>i_AbsorpInuse4</f>
        <v>0</v>
      </c>
      <c r="I11" s="1008"/>
      <c r="J11" s="223" t="s">
        <v>526</v>
      </c>
    </row>
    <row r="12" spans="1:10" ht="15" customHeight="1">
      <c r="A12" s="666" t="s">
        <v>803</v>
      </c>
      <c r="B12" s="1006">
        <f>IF(i_AbsorpOralInuse1&gt;0.8,1,i_AbsorpOralInuse1)</f>
        <v>1</v>
      </c>
      <c r="C12" s="1008"/>
      <c r="D12" s="1006">
        <f>IF(i_AbsorpOralInuse2&gt;0.8,1,i_AbsorpOralInuse2)</f>
        <v>1</v>
      </c>
      <c r="E12" s="1008"/>
      <c r="F12" s="1006">
        <f>IF(i_AbsorpOralInuse3&gt;0.8,1,i_AbsorpOralInuse3)</f>
        <v>1</v>
      </c>
      <c r="G12" s="1008"/>
      <c r="H12" s="1006">
        <f>IF(i_AbsorpOralInuse4&gt;0.8,1,i_AbsorpOralInuse4)</f>
        <v>1</v>
      </c>
      <c r="I12" s="1008"/>
      <c r="J12" s="223" t="s">
        <v>804</v>
      </c>
    </row>
    <row r="13" spans="1:10" ht="30.75" customHeight="1" thickBot="1">
      <c r="A13" s="666" t="str">
        <f>"Turf transferable residue (i_AppRate*d_Turf)"&amp;" (μg a.s./cm²)"</f>
        <v>Turf transferable residue (i_AppRate*d_Turf) (μg a.s./cm²)</v>
      </c>
      <c r="B13" s="869">
        <f>d_TTR1</f>
        <v>0</v>
      </c>
      <c r="C13" s="870"/>
      <c r="D13" s="869">
        <f>d_TTR2</f>
        <v>0</v>
      </c>
      <c r="E13" s="870"/>
      <c r="F13" s="869">
        <f>d_TTR3</f>
        <v>0</v>
      </c>
      <c r="G13" s="870"/>
      <c r="H13" s="869">
        <f>d_TTR4</f>
        <v>0</v>
      </c>
      <c r="I13" s="870"/>
      <c r="J13" s="223" t="s">
        <v>843</v>
      </c>
    </row>
    <row r="14" spans="1:10">
      <c r="A14" s="266" t="s">
        <v>844</v>
      </c>
      <c r="B14" s="267"/>
      <c r="C14" s="268">
        <f>d_ClothAF</f>
        <v>0.18</v>
      </c>
      <c r="D14" s="269"/>
      <c r="E14" s="269"/>
      <c r="F14" s="269"/>
      <c r="G14" s="269"/>
      <c r="H14" s="269"/>
      <c r="I14" s="269"/>
      <c r="J14" s="270" t="s">
        <v>845</v>
      </c>
    </row>
    <row r="15" spans="1:10" ht="15" customHeight="1">
      <c r="A15" s="1182" t="s">
        <v>846</v>
      </c>
      <c r="B15" s="1182"/>
      <c r="C15" s="271">
        <v>1</v>
      </c>
      <c r="D15" s="1177"/>
      <c r="E15" s="1177"/>
      <c r="F15" s="1177"/>
      <c r="G15" s="1177"/>
      <c r="H15" s="1177"/>
      <c r="I15" s="1177"/>
      <c r="J15" s="223"/>
    </row>
    <row r="16" spans="1:10" ht="15" customHeight="1">
      <c r="A16" s="1182" t="s">
        <v>847</v>
      </c>
      <c r="B16" s="1182"/>
      <c r="C16" s="271">
        <f>d_Turf</f>
        <v>0.05</v>
      </c>
      <c r="D16" s="1177"/>
      <c r="E16" s="1177"/>
      <c r="F16" s="1177"/>
      <c r="G16" s="1177"/>
      <c r="H16" s="1177"/>
      <c r="I16" s="1177"/>
      <c r="J16" s="223" t="s">
        <v>848</v>
      </c>
    </row>
    <row r="17" spans="1:10" ht="17.25" customHeight="1">
      <c r="A17" s="1182" t="s">
        <v>849</v>
      </c>
      <c r="B17" s="1182"/>
      <c r="C17" s="230">
        <f>d_ReTCAd</f>
        <v>7300</v>
      </c>
      <c r="D17" s="1178"/>
      <c r="E17" s="1178"/>
      <c r="F17" s="1178"/>
      <c r="G17" s="1178"/>
      <c r="H17" s="1178"/>
      <c r="I17" s="1178"/>
      <c r="J17" s="223" t="s">
        <v>850</v>
      </c>
    </row>
    <row r="18" spans="1:10" ht="17.25" customHeight="1">
      <c r="A18" s="1183" t="s">
        <v>851</v>
      </c>
      <c r="B18" s="1183"/>
      <c r="C18" s="230">
        <f>d_ReTCCh</f>
        <v>2600</v>
      </c>
      <c r="D18" s="1178"/>
      <c r="E18" s="1178"/>
      <c r="F18" s="1178"/>
      <c r="G18" s="1178"/>
      <c r="H18" s="1178"/>
      <c r="I18" s="1178"/>
      <c r="J18" s="223" t="s">
        <v>852</v>
      </c>
    </row>
    <row r="19" spans="1:10" ht="15" customHeight="1">
      <c r="A19" s="1182" t="s">
        <v>853</v>
      </c>
      <c r="B19" s="1182"/>
      <c r="C19" s="271">
        <f>d_SalExt</f>
        <v>0.5</v>
      </c>
      <c r="D19" s="1177"/>
      <c r="E19" s="1177"/>
      <c r="F19" s="1177"/>
      <c r="G19" s="1177"/>
      <c r="H19" s="1177"/>
      <c r="I19" s="1177"/>
      <c r="J19" s="223" t="s">
        <v>854</v>
      </c>
    </row>
    <row r="20" spans="1:10" ht="17.25" customHeight="1">
      <c r="A20" s="1182" t="s">
        <v>855</v>
      </c>
      <c r="B20" s="1182"/>
      <c r="C20" s="230">
        <f>d_AreaHM</f>
        <v>20</v>
      </c>
      <c r="D20" s="1178"/>
      <c r="E20" s="1178"/>
      <c r="F20" s="1178"/>
      <c r="G20" s="1178"/>
      <c r="H20" s="1178"/>
      <c r="I20" s="1178"/>
      <c r="J20" s="223" t="s">
        <v>856</v>
      </c>
    </row>
    <row r="21" spans="1:10" ht="15" customHeight="1">
      <c r="A21" s="1182" t="s">
        <v>857</v>
      </c>
      <c r="B21" s="1182"/>
      <c r="C21" s="230">
        <f>d_ReFreqHM</f>
        <v>9.5</v>
      </c>
      <c r="D21" s="1178"/>
      <c r="E21" s="1178"/>
      <c r="F21" s="1178"/>
      <c r="G21" s="1178"/>
      <c r="H21" s="1178"/>
      <c r="I21" s="1178"/>
      <c r="J21" s="223" t="s">
        <v>858</v>
      </c>
    </row>
    <row r="22" spans="1:10" ht="17.25" customHeight="1">
      <c r="A22" s="1182" t="s">
        <v>859</v>
      </c>
      <c r="B22" s="1182"/>
      <c r="C22" s="230">
        <f>d_MouthGrass</f>
        <v>25</v>
      </c>
      <c r="D22" s="1178"/>
      <c r="E22" s="1178"/>
      <c r="F22" s="1178"/>
      <c r="G22" s="1178"/>
      <c r="H22" s="1178"/>
      <c r="I22" s="1178"/>
      <c r="J22" s="223" t="s">
        <v>860</v>
      </c>
    </row>
    <row r="23" spans="1:10" ht="15.75" thickBot="1"/>
    <row r="24" spans="1:10" ht="19.5" thickBot="1">
      <c r="A24" s="78" t="s">
        <v>546</v>
      </c>
      <c r="B24" s="937">
        <f>i_SubstName1</f>
        <v>0</v>
      </c>
      <c r="C24" s="938"/>
      <c r="D24" s="937">
        <f>i_SubstName2</f>
        <v>0</v>
      </c>
      <c r="E24" s="938"/>
      <c r="F24" s="937">
        <f>i_SubstName3</f>
        <v>0</v>
      </c>
      <c r="G24" s="938"/>
      <c r="H24" s="937">
        <f>i_SubstName4</f>
        <v>0</v>
      </c>
      <c r="I24" s="938"/>
      <c r="J24" s="276" t="s">
        <v>370</v>
      </c>
    </row>
    <row r="25" spans="1:10" ht="30">
      <c r="A25" s="275"/>
      <c r="B25" s="656" t="s">
        <v>825</v>
      </c>
      <c r="C25" s="653" t="s">
        <v>448</v>
      </c>
      <c r="D25" s="656" t="s">
        <v>825</v>
      </c>
      <c r="E25" s="653" t="s">
        <v>448</v>
      </c>
      <c r="F25" s="656" t="s">
        <v>825</v>
      </c>
      <c r="G25" s="653" t="s">
        <v>448</v>
      </c>
      <c r="H25" s="656" t="s">
        <v>825</v>
      </c>
      <c r="I25" s="653" t="s">
        <v>448</v>
      </c>
      <c r="J25" s="244" t="s">
        <v>448</v>
      </c>
    </row>
    <row r="26" spans="1:10">
      <c r="A26" s="246" t="s">
        <v>821</v>
      </c>
      <c r="B26" s="656"/>
      <c r="C26" s="653"/>
      <c r="D26" s="656"/>
      <c r="E26" s="653"/>
      <c r="F26" s="656"/>
      <c r="G26" s="653"/>
      <c r="H26" s="656"/>
      <c r="I26" s="653"/>
      <c r="J26" s="244"/>
    </row>
    <row r="27" spans="1:10">
      <c r="A27" s="245" t="s">
        <v>828</v>
      </c>
      <c r="B27" s="670"/>
      <c r="C27" s="673"/>
      <c r="D27" s="670"/>
      <c r="E27" s="673"/>
      <c r="F27" s="670"/>
      <c r="G27" s="673"/>
      <c r="H27" s="670"/>
      <c r="I27" s="673"/>
      <c r="J27" s="274"/>
    </row>
    <row r="28" spans="1:10">
      <c r="A28" s="247" t="s">
        <v>829</v>
      </c>
      <c r="B28" s="670">
        <f>IF(i_AppMeth="In furrow application of granules", "",(d_TTR1/1000)*$C15*d_ReTCCh*d_ReExpDur*MAX(i_AbsorpProduct1,i_AbsorpInuse1)*d_MAF1)</f>
        <v>0</v>
      </c>
      <c r="C28" s="673">
        <f>IF(ISNUMBER(B28), B28/d_BwChild,"")</f>
        <v>0</v>
      </c>
      <c r="D28" s="670">
        <f>IF(i_AppMeth="In furrow application of granules", "",(d_TTR2/1000)*$C15*d_ReTCCh*d_ReExpDur*MAX(i_AbsorpProduct2,i_AbsorpInuse2)*d_MAF2)</f>
        <v>0</v>
      </c>
      <c r="E28" s="673">
        <f>IF(ISNUMBER(D28), D28/d_BwChild,"")</f>
        <v>0</v>
      </c>
      <c r="F28" s="670">
        <f>IF(i_AppMeth="In furrow application of granules", "",(d_TTR3/1000)*$C15*d_ReTCCh*d_ReExpDur*MAX(i_AbsorpProduct3,i_AbsorpInuse3)*d_MAF3)</f>
        <v>0</v>
      </c>
      <c r="G28" s="673">
        <f>IF(ISNUMBER(F28), F28/d_BwChild,"")</f>
        <v>0</v>
      </c>
      <c r="H28" s="670">
        <f>IF(i_AppMeth="In furrow application of granules", "",(d_TTR4/1000)*$C15*d_ReTCCh*d_ReExpDur*MAX(i_AbsorpProduct4,i_AbsorpInuse4)*d_MAF4)</f>
        <v>0</v>
      </c>
      <c r="I28" s="673">
        <f>IF(ISNUMBER(H28), H28/d_BwChild,"")</f>
        <v>0</v>
      </c>
      <c r="J28" s="272"/>
    </row>
    <row r="29" spans="1:10">
      <c r="A29" s="247" t="s">
        <v>830</v>
      </c>
      <c r="B29" s="670">
        <f>IF(i_AppMeth="In furrow application of granules","",(i_AppRateAS1/100)*$C15*d_Turf*d_SalExt*d_AreaHM*d_ReFreqHM*d_ReExpDur*i_AbsorpOralInuse1*d_MAF1)</f>
        <v>0</v>
      </c>
      <c r="C29" s="673">
        <f>IF(ISNUMBER(B29), B29/d_BwChild,"")</f>
        <v>0</v>
      </c>
      <c r="D29" s="670">
        <f>IF(i_AppMeth="In furrow application of granules","",(i_AppRateAS2/100)*$C15*d_Turf*d_SalExt*d_AreaHM*d_ReFreqHM*d_ReExpDur*i_AbsorpOralInuse2*d_MAF2)</f>
        <v>0</v>
      </c>
      <c r="E29" s="673">
        <f>IF(ISNUMBER(D29), D29/d_BwChild,"")</f>
        <v>0</v>
      </c>
      <c r="F29" s="670">
        <f>IF(i_AppMeth="In furrow application of granules","",(i_AppRateAS3/100)*$C15*d_Turf*d_SalExt*d_AreaHM*d_ReFreqHM*d_ReExpDur*i_AbsorpOralInuse3*d_MAF3)</f>
        <v>0</v>
      </c>
      <c r="G29" s="673">
        <f>IF(ISNUMBER(F29), F29/d_BwChild,"")</f>
        <v>0</v>
      </c>
      <c r="H29" s="670">
        <f>IF(i_AppMeth="In furrow application of granules","",(i_AppRateAS4/100)*$C15*d_Turf*d_SalExt*d_AreaHM*d_ReFreqHM*d_ReExpDur*i_AbsorpOralInuse4*d_MAF4)</f>
        <v>0</v>
      </c>
      <c r="I29" s="673">
        <f>IF(ISNUMBER(H29), H29/d_BwChild,"")</f>
        <v>0</v>
      </c>
      <c r="J29" s="272"/>
    </row>
    <row r="30" spans="1:10">
      <c r="A30" s="247" t="s">
        <v>831</v>
      </c>
      <c r="B30" s="670">
        <f>IF(i_AppMeth="In furrow application of granules","",(i_AppRateAS1/100)*$C15*d_DRP*d_MouthGrass*i_AbsorpOralInuse1*d_MAF1)</f>
        <v>0</v>
      </c>
      <c r="C30" s="673">
        <f>IF(ISNUMBER(B30), B30/d_BwChild,"")</f>
        <v>0</v>
      </c>
      <c r="D30" s="670">
        <f>IF(i_AppMeth="In furrow application of granules","",(i_AppRateAS2/100)*$C15*d_DRP*d_MouthGrass*i_AbsorpOralInuse2*d_MAF2)</f>
        <v>0</v>
      </c>
      <c r="E30" s="673">
        <f>IF(ISNUMBER(D30), D30/d_BwChild,"")</f>
        <v>0</v>
      </c>
      <c r="F30" s="670">
        <f>IF(i_AppMeth="In furrow application of granules","",(i_AppRateAS3/100)*$C15*d_DRP*d_MouthGrass*i_AbsorpOralInuse3*d_MAF3)</f>
        <v>0</v>
      </c>
      <c r="G30" s="673">
        <f>IF(ISNUMBER(F30), F30/d_BwChild,"")</f>
        <v>0</v>
      </c>
      <c r="H30" s="670">
        <f>IF(i_AppMeth="In furrow application of granules","",(i_AppRateAS4/100)*$C15*d_DRP*d_MouthGrass*i_AbsorpOralInuse4*d_MAF4)</f>
        <v>0</v>
      </c>
      <c r="I30" s="673">
        <f>IF(ISNUMBER(H30), H30/d_BwChild,"")</f>
        <v>0</v>
      </c>
      <c r="J30" s="272"/>
    </row>
    <row r="31" spans="1:10">
      <c r="A31" s="250" t="s">
        <v>861</v>
      </c>
      <c r="B31" s="670">
        <f>SUM(B28:B30)</f>
        <v>0</v>
      </c>
      <c r="C31" s="673">
        <f>IF(ISNUMBER(B31),B31/d_BwChild,"")</f>
        <v>0</v>
      </c>
      <c r="D31" s="670">
        <f>SUM(D28:D30)</f>
        <v>0</v>
      </c>
      <c r="E31" s="673">
        <f>IF(ISNUMBER(D31),D31/d_BwChild,"")</f>
        <v>0</v>
      </c>
      <c r="F31" s="670">
        <f>SUM(F28:F30)</f>
        <v>0</v>
      </c>
      <c r="G31" s="673">
        <f>IF(ISNUMBER(F31),F31/d_BwChild,"")</f>
        <v>0</v>
      </c>
      <c r="H31" s="670">
        <f>SUM(H28:H30)</f>
        <v>0</v>
      </c>
      <c r="I31" s="673">
        <f>IF(ISNUMBER(H31),H31/d_BwChild,"")</f>
        <v>0</v>
      </c>
      <c r="J31" s="404" t="s">
        <v>371</v>
      </c>
    </row>
    <row r="32" spans="1:10">
      <c r="A32" s="250" t="s">
        <v>442</v>
      </c>
      <c r="B32" s="668"/>
      <c r="C32" s="376">
        <f>IF(i_CropType = "Amenity grassland",IFERROR(C31/i_AOEL1,0),0)</f>
        <v>0</v>
      </c>
      <c r="D32" s="668"/>
      <c r="E32" s="376">
        <f>IF(i_CropType = "Amenity grassland",IFERROR(E31/i_AOEL2,0),0)</f>
        <v>0</v>
      </c>
      <c r="F32" s="668"/>
      <c r="G32" s="376">
        <f>IF(i_CropType = "Amenity grassland",IFERROR(G31/i_AOEL3,0),0)</f>
        <v>0</v>
      </c>
      <c r="H32" s="668"/>
      <c r="I32" s="376">
        <f>IF(i_CropType = "Amenity grassland",IFERROR(I31/i_AOEL4,0),0)</f>
        <v>0</v>
      </c>
      <c r="J32" s="404" t="str">
        <f>IF(i_CropType = "Amenity grassland",IF(COUNTA('Data entry'!D26:G26)&lt;2,"N/A",FIXED(RecSysExpChProzAOEL+E32+G32+I32,3)),"")</f>
        <v/>
      </c>
    </row>
    <row r="33" spans="1:10">
      <c r="A33" s="246" t="s">
        <v>823</v>
      </c>
      <c r="B33" s="264"/>
      <c r="C33" s="265"/>
      <c r="D33" s="264"/>
      <c r="E33" s="379"/>
      <c r="F33" s="264"/>
      <c r="G33" s="265"/>
      <c r="H33" s="264"/>
      <c r="I33" s="265"/>
      <c r="J33" s="273"/>
    </row>
    <row r="34" spans="1:10">
      <c r="A34" s="245" t="s">
        <v>833</v>
      </c>
      <c r="B34" s="670">
        <f>IF(i_AppMeth="In furrow application of granules", "",(i_AppRateAS1/100)*$C15*d_Turf*d_ReTCAd*d_ReExpDur*MAX(i_AbsorpProduct1,i_AbsorpInuse1)*d_MAF1)</f>
        <v>0</v>
      </c>
      <c r="C34" s="673">
        <f>IF(ISNUMBER(B34),B34/d_BwAdult,"")</f>
        <v>0</v>
      </c>
      <c r="D34" s="670">
        <f>IF(i_AppMeth="In furrow application of granules", "",(i_AppRateAS2/100)*C15*d_Turf*d_ReTCAd*d_ReExpDur*MAX(i_AbsorpProduct2,i_AbsorpInuse2)*d_MAF2)</f>
        <v>0</v>
      </c>
      <c r="E34" s="673">
        <f>IF(ISNUMBER(D34),D34/d_BwAdult,"")</f>
        <v>0</v>
      </c>
      <c r="F34" s="670">
        <f>IF(i_AppMeth="In furrow application of granules", "",(i_AppRateAS3/100)*C15*d_Turf*d_ReTCAd*d_ReExpDur*MAX(i_AbsorpProduct3,i_AbsorpInuse3)*d_MAF3)</f>
        <v>0</v>
      </c>
      <c r="G34" s="673">
        <f>IF(ISNUMBER(F34),F34/d_BwAdult,"")</f>
        <v>0</v>
      </c>
      <c r="H34" s="670">
        <f>IF(i_AppMeth="In furrow application of granules", "",(i_AppRateAS4/100)*C15*d_Turf*d_ReTCAd*d_ReExpDur*MAX(i_AbsorpProduct4,i_AbsorpInuse4)*d_MAF4)</f>
        <v>0</v>
      </c>
      <c r="I34" s="673">
        <f>IF(ISNUMBER(H34),H34/d_BwAdult,"")</f>
        <v>0</v>
      </c>
      <c r="J34" s="404" t="s">
        <v>371</v>
      </c>
    </row>
    <row r="35" spans="1:10" ht="15.75" thickBot="1">
      <c r="A35" s="400" t="s">
        <v>442</v>
      </c>
      <c r="B35" s="672"/>
      <c r="C35" s="374">
        <f>IF(i_CropType = "Amenity grassland",IFERROR(C34/i_AOEL1,0),0)</f>
        <v>0</v>
      </c>
      <c r="D35" s="672"/>
      <c r="E35" s="374">
        <f>IF(i_CropType = "Amenity grassland",IFERROR(E34/i_AOEL2,0),0)</f>
        <v>0</v>
      </c>
      <c r="F35" s="672"/>
      <c r="G35" s="374">
        <f>IF(i_CropType = "Amenity grassland",IFERROR(G34/i_AOEL3,0),0)</f>
        <v>0</v>
      </c>
      <c r="H35" s="672"/>
      <c r="I35" s="374">
        <f>IF(i_CropType = "Amenity grassland",IFERROR(I34/i_AOEL4,0),0)</f>
        <v>0</v>
      </c>
      <c r="J35" s="405" t="str">
        <f>IF(i_CropType = "Amenity grassland",IF(COUNTA('Data entry'!D26:G26)&lt;2,"N/A",FIXED(RecSysExpAdProzAOEL+E35+G35+I35,3)),"")</f>
        <v/>
      </c>
    </row>
  </sheetData>
  <sheetProtection algorithmName="SHA-512" hashValue="LKX1c27U0z7QXUwFylwLOfVbv5OpW69RiPwb/InvJWbU/KGHAp2gaegRr5K9PooBsqhUWATYSG8qO4EFDvsBIg==" saltValue="XHGNQo96M6uoTmdI6T7Tng==" spinCount="100000" sheet="1" formatCells="0" formatColumns="0"/>
  <mergeCells count="73">
    <mergeCell ref="F3:G3"/>
    <mergeCell ref="H3:I3"/>
    <mergeCell ref="F6:G6"/>
    <mergeCell ref="H6:I6"/>
    <mergeCell ref="H21:I21"/>
    <mergeCell ref="F18:G18"/>
    <mergeCell ref="H18:I18"/>
    <mergeCell ref="F19:G19"/>
    <mergeCell ref="H19:I19"/>
    <mergeCell ref="F20:G20"/>
    <mergeCell ref="H20:I20"/>
    <mergeCell ref="H7:I7"/>
    <mergeCell ref="H10:I10"/>
    <mergeCell ref="F7:G7"/>
    <mergeCell ref="F10:G10"/>
    <mergeCell ref="A21:B21"/>
    <mergeCell ref="D21:E21"/>
    <mergeCell ref="A22:B22"/>
    <mergeCell ref="D22:E22"/>
    <mergeCell ref="F21:G21"/>
    <mergeCell ref="A18:B18"/>
    <mergeCell ref="D18:E18"/>
    <mergeCell ref="A19:B19"/>
    <mergeCell ref="D19:E19"/>
    <mergeCell ref="A20:B20"/>
    <mergeCell ref="D20:E20"/>
    <mergeCell ref="B10:C10"/>
    <mergeCell ref="B11:C11"/>
    <mergeCell ref="B12:C12"/>
    <mergeCell ref="B13:C13"/>
    <mergeCell ref="B3:C3"/>
    <mergeCell ref="B9:C9"/>
    <mergeCell ref="D3:E3"/>
    <mergeCell ref="A6:B6"/>
    <mergeCell ref="D6:E6"/>
    <mergeCell ref="B5:D5"/>
    <mergeCell ref="B24:C24"/>
    <mergeCell ref="D24:E24"/>
    <mergeCell ref="A15:B15"/>
    <mergeCell ref="D15:E15"/>
    <mergeCell ref="A16:B16"/>
    <mergeCell ref="D16:E16"/>
    <mergeCell ref="A17:B17"/>
    <mergeCell ref="D17:E17"/>
    <mergeCell ref="B7:C7"/>
    <mergeCell ref="D7:E7"/>
    <mergeCell ref="D10:E10"/>
    <mergeCell ref="B8:C8"/>
    <mergeCell ref="F24:G24"/>
    <mergeCell ref="H24:I24"/>
    <mergeCell ref="F15:G15"/>
    <mergeCell ref="H15:I15"/>
    <mergeCell ref="F16:G16"/>
    <mergeCell ref="H16:I16"/>
    <mergeCell ref="F17:G17"/>
    <mergeCell ref="H17:I17"/>
    <mergeCell ref="F22:G22"/>
    <mergeCell ref="H22:I22"/>
    <mergeCell ref="D8:E8"/>
    <mergeCell ref="F8:G8"/>
    <mergeCell ref="H8:I8"/>
    <mergeCell ref="D9:E9"/>
    <mergeCell ref="F9:G9"/>
    <mergeCell ref="H9:I9"/>
    <mergeCell ref="D13:E13"/>
    <mergeCell ref="F13:G13"/>
    <mergeCell ref="H13:I13"/>
    <mergeCell ref="D11:E11"/>
    <mergeCell ref="F11:G11"/>
    <mergeCell ref="H11:I11"/>
    <mergeCell ref="D12:E12"/>
    <mergeCell ref="F12:G12"/>
    <mergeCell ref="H12:I12"/>
  </mergeCells>
  <conditionalFormatting sqref="B28:C31 B35 B32 D32 F32 H32 B34:I34">
    <cfRule type="cellIs" dxfId="163" priority="264" operator="greaterThanOrEqual">
      <formula>10</formula>
    </cfRule>
    <cfRule type="cellIs" dxfId="162" priority="265" operator="between">
      <formula>1</formula>
      <formula>10</formula>
    </cfRule>
    <cfRule type="cellIs" dxfId="161" priority="266" operator="between">
      <formula>0.1</formula>
      <formula>1</formula>
    </cfRule>
    <cfRule type="cellIs" dxfId="160" priority="267" operator="between">
      <formula>0.001</formula>
      <formula>0.01</formula>
    </cfRule>
    <cfRule type="cellIs" dxfId="159" priority="268" operator="between">
      <formula>0</formula>
      <formula>0.001</formula>
    </cfRule>
    <cfRule type="cellIs" dxfId="158" priority="269" operator="between">
      <formula>0.01</formula>
      <formula>0.1</formula>
    </cfRule>
  </conditionalFormatting>
  <conditionalFormatting sqref="D35 F35 H35 D28:E31 H28:J31 J34">
    <cfRule type="cellIs" dxfId="157" priority="258" operator="greaterThanOrEqual">
      <formula>10</formula>
    </cfRule>
    <cfRule type="cellIs" dxfId="156" priority="259" operator="between">
      <formula>1</formula>
      <formula>10</formula>
    </cfRule>
    <cfRule type="cellIs" dxfId="155" priority="260" operator="between">
      <formula>0.1</formula>
      <formula>1</formula>
    </cfRule>
    <cfRule type="cellIs" dxfId="154" priority="261" operator="between">
      <formula>0.001</formula>
      <formula>0.01</formula>
    </cfRule>
    <cfRule type="cellIs" dxfId="153" priority="262" operator="between">
      <formula>0</formula>
      <formula>0.001</formula>
    </cfRule>
    <cfRule type="cellIs" dxfId="152" priority="263" operator="between">
      <formula>0.01</formula>
      <formula>0.1</formula>
    </cfRule>
  </conditionalFormatting>
  <conditionalFormatting sqref="C28:C31 E28:E31 G28:G31 I28:I31">
    <cfRule type="cellIs" dxfId="151" priority="202" operator="greaterThanOrEqual">
      <formula>10</formula>
    </cfRule>
    <cfRule type="cellIs" dxfId="150" priority="203" operator="between">
      <formula>1</formula>
      <formula>10</formula>
    </cfRule>
    <cfRule type="cellIs" dxfId="149" priority="204" operator="between">
      <formula>0.1</formula>
      <formula>1</formula>
    </cfRule>
    <cfRule type="cellIs" dxfId="148" priority="205" operator="between">
      <formula>0.001</formula>
      <formula>0.01</formula>
    </cfRule>
    <cfRule type="cellIs" dxfId="147" priority="206" operator="between">
      <formula>0</formula>
      <formula>0.001</formula>
    </cfRule>
    <cfRule type="cellIs" dxfId="146" priority="207" operator="between">
      <formula>0.01</formula>
      <formula>0.1</formula>
    </cfRule>
  </conditionalFormatting>
  <conditionalFormatting sqref="C28 E28 G28 I28 C30 E30 G30 I30">
    <cfRule type="cellIs" dxfId="145" priority="196" operator="greaterThanOrEqual">
      <formula>10</formula>
    </cfRule>
    <cfRule type="cellIs" dxfId="144" priority="197" operator="between">
      <formula>1</formula>
      <formula>10</formula>
    </cfRule>
    <cfRule type="cellIs" dxfId="143" priority="198" operator="between">
      <formula>0.1</formula>
      <formula>1</formula>
    </cfRule>
    <cfRule type="cellIs" dxfId="142" priority="199" operator="between">
      <formula>0.001</formula>
      <formula>0.01</formula>
    </cfRule>
    <cfRule type="cellIs" dxfId="141" priority="200" operator="between">
      <formula>0</formula>
      <formula>0.001</formula>
    </cfRule>
    <cfRule type="cellIs" dxfId="140" priority="201" operator="between">
      <formula>0.01</formula>
      <formula>0.1</formula>
    </cfRule>
  </conditionalFormatting>
  <conditionalFormatting sqref="C29 E29 G29 I29 C31 E31 G31 I31">
    <cfRule type="cellIs" dxfId="139" priority="190" operator="greaterThanOrEqual">
      <formula>10</formula>
    </cfRule>
    <cfRule type="cellIs" dxfId="138" priority="191" operator="between">
      <formula>1</formula>
      <formula>10</formula>
    </cfRule>
    <cfRule type="cellIs" dxfId="137" priority="192" operator="between">
      <formula>0.1</formula>
      <formula>1</formula>
    </cfRule>
    <cfRule type="cellIs" dxfId="136" priority="193" operator="between">
      <formula>0.001</formula>
      <formula>0.01</formula>
    </cfRule>
    <cfRule type="cellIs" dxfId="135" priority="194" operator="between">
      <formula>0</formula>
      <formula>0.001</formula>
    </cfRule>
    <cfRule type="cellIs" dxfId="134" priority="195" operator="between">
      <formula>0.01</formula>
      <formula>0.1</formula>
    </cfRule>
  </conditionalFormatting>
  <conditionalFormatting sqref="B28:I31">
    <cfRule type="cellIs" dxfId="133" priority="184" operator="greaterThanOrEqual">
      <formula>10</formula>
    </cfRule>
    <cfRule type="cellIs" dxfId="132" priority="185" operator="between">
      <formula>1</formula>
      <formula>10</formula>
    </cfRule>
    <cfRule type="cellIs" dxfId="131" priority="186" operator="between">
      <formula>0.1</formula>
      <formula>1</formula>
    </cfRule>
    <cfRule type="cellIs" dxfId="130" priority="187" operator="between">
      <formula>0.001</formula>
      <formula>0.01</formula>
    </cfRule>
    <cfRule type="cellIs" dxfId="129" priority="188" operator="between">
      <formula>0</formula>
      <formula>0.001</formula>
    </cfRule>
    <cfRule type="cellIs" dxfId="128" priority="189" operator="between">
      <formula>0.01</formula>
      <formula>0.1</formula>
    </cfRule>
  </conditionalFormatting>
  <conditionalFormatting sqref="B28:I31">
    <cfRule type="cellIs" dxfId="127" priority="183" operator="equal">
      <formula>0</formula>
    </cfRule>
  </conditionalFormatting>
  <conditionalFormatting sqref="C34">
    <cfRule type="cellIs" dxfId="126" priority="177" operator="greaterThanOrEqual">
      <formula>10</formula>
    </cfRule>
    <cfRule type="cellIs" dxfId="125" priority="178" operator="between">
      <formula>1</formula>
      <formula>10</formula>
    </cfRule>
    <cfRule type="cellIs" dxfId="124" priority="179" operator="between">
      <formula>0.1</formula>
      <formula>1</formula>
    </cfRule>
    <cfRule type="cellIs" dxfId="123" priority="180" operator="between">
      <formula>0.001</formula>
      <formula>0.01</formula>
    </cfRule>
    <cfRule type="cellIs" dxfId="122" priority="181" operator="between">
      <formula>0</formula>
      <formula>0.001</formula>
    </cfRule>
    <cfRule type="cellIs" dxfId="121" priority="182" operator="between">
      <formula>0.01</formula>
      <formula>0.1</formula>
    </cfRule>
  </conditionalFormatting>
  <conditionalFormatting sqref="C34">
    <cfRule type="cellIs" dxfId="120" priority="171" operator="greaterThanOrEqual">
      <formula>10</formula>
    </cfRule>
    <cfRule type="cellIs" dxfId="119" priority="172" operator="between">
      <formula>1</formula>
      <formula>10</formula>
    </cfRule>
    <cfRule type="cellIs" dxfId="118" priority="173" operator="between">
      <formula>0.1</formula>
      <formula>1</formula>
    </cfRule>
    <cfRule type="cellIs" dxfId="117" priority="174" operator="between">
      <formula>0.001</formula>
      <formula>0.01</formula>
    </cfRule>
    <cfRule type="cellIs" dxfId="116" priority="175" operator="between">
      <formula>0</formula>
      <formula>0.001</formula>
    </cfRule>
    <cfRule type="cellIs" dxfId="115" priority="176" operator="between">
      <formula>0.01</formula>
      <formula>0.1</formula>
    </cfRule>
  </conditionalFormatting>
  <conditionalFormatting sqref="B34:I34">
    <cfRule type="cellIs" dxfId="114" priority="165" operator="greaterThanOrEqual">
      <formula>10</formula>
    </cfRule>
    <cfRule type="cellIs" dxfId="113" priority="166" operator="between">
      <formula>1</formula>
      <formula>10</formula>
    </cfRule>
    <cfRule type="cellIs" dxfId="112" priority="167" operator="between">
      <formula>0.1</formula>
      <formula>1</formula>
    </cfRule>
    <cfRule type="cellIs" dxfId="111" priority="168" operator="between">
      <formula>0.001</formula>
      <formula>0.01</formula>
    </cfRule>
    <cfRule type="cellIs" dxfId="110" priority="169" operator="between">
      <formula>0</formula>
      <formula>0.001</formula>
    </cfRule>
    <cfRule type="cellIs" dxfId="109" priority="170" operator="between">
      <formula>0.01</formula>
      <formula>0.1</formula>
    </cfRule>
  </conditionalFormatting>
  <conditionalFormatting sqref="B34:I34">
    <cfRule type="cellIs" dxfId="108" priority="164" operator="equal">
      <formula>0</formula>
    </cfRule>
  </conditionalFormatting>
  <conditionalFormatting sqref="E34 G34 I34">
    <cfRule type="cellIs" dxfId="107" priority="158" operator="greaterThanOrEqual">
      <formula>10</formula>
    </cfRule>
    <cfRule type="cellIs" dxfId="106" priority="159" operator="between">
      <formula>1</formula>
      <formula>10</formula>
    </cfRule>
    <cfRule type="cellIs" dxfId="105" priority="160" operator="between">
      <formula>0.1</formula>
      <formula>1</formula>
    </cfRule>
    <cfRule type="cellIs" dxfId="104" priority="161" operator="between">
      <formula>0.001</formula>
      <formula>0.01</formula>
    </cfRule>
    <cfRule type="cellIs" dxfId="103" priority="162" operator="between">
      <formula>0</formula>
      <formula>0.001</formula>
    </cfRule>
    <cfRule type="cellIs" dxfId="102" priority="163" operator="between">
      <formula>0.01</formula>
      <formula>0.1</formula>
    </cfRule>
  </conditionalFormatting>
  <conditionalFormatting sqref="E34 G34 I34">
    <cfRule type="cellIs" dxfId="101" priority="152" operator="greaterThanOrEqual">
      <formula>10</formula>
    </cfRule>
    <cfRule type="cellIs" dxfId="100" priority="153" operator="between">
      <formula>1</formula>
      <formula>10</formula>
    </cfRule>
    <cfRule type="cellIs" dxfId="99" priority="154" operator="between">
      <formula>0.1</formula>
      <formula>1</formula>
    </cfRule>
    <cfRule type="cellIs" dxfId="98" priority="155" operator="between">
      <formula>0.001</formula>
      <formula>0.01</formula>
    </cfRule>
    <cfRule type="cellIs" dxfId="97" priority="156" operator="between">
      <formula>0</formula>
      <formula>0.001</formula>
    </cfRule>
    <cfRule type="cellIs" dxfId="96" priority="157" operator="between">
      <formula>0.01</formula>
      <formula>0.1</formula>
    </cfRule>
  </conditionalFormatting>
  <conditionalFormatting sqref="E34 G34 I34">
    <cfRule type="cellIs" dxfId="95" priority="146" operator="greaterThanOrEqual">
      <formula>10</formula>
    </cfRule>
    <cfRule type="cellIs" dxfId="94" priority="147" operator="between">
      <formula>1</formula>
      <formula>10</formula>
    </cfRule>
    <cfRule type="cellIs" dxfId="93" priority="148" operator="between">
      <formula>0.1</formula>
      <formula>1</formula>
    </cfRule>
    <cfRule type="cellIs" dxfId="92" priority="149" operator="between">
      <formula>0.001</formula>
      <formula>0.01</formula>
    </cfRule>
    <cfRule type="cellIs" dxfId="91" priority="150" operator="between">
      <formula>0</formula>
      <formula>0.001</formula>
    </cfRule>
    <cfRule type="cellIs" dxfId="90" priority="151" operator="between">
      <formula>0.01</formula>
      <formula>0.1</formula>
    </cfRule>
  </conditionalFormatting>
  <conditionalFormatting sqref="E34 G34 I34">
    <cfRule type="cellIs" dxfId="89" priority="140" operator="greaterThanOrEqual">
      <formula>10</formula>
    </cfRule>
    <cfRule type="cellIs" dxfId="88" priority="141" operator="between">
      <formula>1</formula>
      <formula>10</formula>
    </cfRule>
    <cfRule type="cellIs" dxfId="87" priority="142" operator="between">
      <formula>0.1</formula>
      <formula>1</formula>
    </cfRule>
    <cfRule type="cellIs" dxfId="86" priority="143" operator="between">
      <formula>0.001</formula>
      <formula>0.01</formula>
    </cfRule>
    <cfRule type="cellIs" dxfId="85" priority="144" operator="between">
      <formula>0</formula>
      <formula>0.001</formula>
    </cfRule>
    <cfRule type="cellIs" dxfId="84" priority="145" operator="between">
      <formula>0.01</formula>
      <formula>0.1</formula>
    </cfRule>
  </conditionalFormatting>
  <conditionalFormatting sqref="C34 E34 G34 I34">
    <cfRule type="cellIs" dxfId="83" priority="134" operator="greaterThanOrEqual">
      <formula>10</formula>
    </cfRule>
    <cfRule type="cellIs" dxfId="82" priority="135" operator="between">
      <formula>1</formula>
      <formula>10</formula>
    </cfRule>
    <cfRule type="cellIs" dxfId="81" priority="136" operator="between">
      <formula>0.1</formula>
      <formula>1</formula>
    </cfRule>
    <cfRule type="cellIs" dxfId="80" priority="137" operator="between">
      <formula>0.001</formula>
      <formula>0.01</formula>
    </cfRule>
    <cfRule type="cellIs" dxfId="79" priority="138" operator="between">
      <formula>0</formula>
      <formula>0.001</formula>
    </cfRule>
    <cfRule type="cellIs" dxfId="78" priority="139" operator="between">
      <formula>0.01</formula>
      <formula>0.1</formula>
    </cfRule>
  </conditionalFormatting>
  <conditionalFormatting sqref="C34 E34 G34 I34">
    <cfRule type="cellIs" dxfId="77" priority="128" operator="greaterThanOrEqual">
      <formula>10</formula>
    </cfRule>
    <cfRule type="cellIs" dxfId="76" priority="129" operator="between">
      <formula>1</formula>
      <formula>10</formula>
    </cfRule>
    <cfRule type="cellIs" dxfId="75" priority="130" operator="between">
      <formula>0.1</formula>
      <formula>1</formula>
    </cfRule>
    <cfRule type="cellIs" dxfId="74" priority="131" operator="between">
      <formula>0.001</formula>
      <formula>0.01</formula>
    </cfRule>
    <cfRule type="cellIs" dxfId="73" priority="132" operator="between">
      <formula>0</formula>
      <formula>0.001</formula>
    </cfRule>
    <cfRule type="cellIs" dxfId="72" priority="133" operator="between">
      <formula>0.01</formula>
      <formula>0.1</formula>
    </cfRule>
  </conditionalFormatting>
  <conditionalFormatting sqref="B34:I34">
    <cfRule type="cellIs" dxfId="71" priority="122" operator="greaterThanOrEqual">
      <formula>10</formula>
    </cfRule>
    <cfRule type="cellIs" dxfId="70" priority="123" operator="between">
      <formula>1</formula>
      <formula>10</formula>
    </cfRule>
    <cfRule type="cellIs" dxfId="69" priority="124" operator="between">
      <formula>0.1</formula>
      <formula>1</formula>
    </cfRule>
    <cfRule type="cellIs" dxfId="68" priority="125" operator="between">
      <formula>0.001</formula>
      <formula>0.01</formula>
    </cfRule>
    <cfRule type="cellIs" dxfId="67" priority="126" operator="between">
      <formula>0</formula>
      <formula>0.001</formula>
    </cfRule>
    <cfRule type="cellIs" dxfId="66" priority="127" operator="between">
      <formula>0.01</formula>
      <formula>0.1</formula>
    </cfRule>
  </conditionalFormatting>
  <conditionalFormatting sqref="B34:I34">
    <cfRule type="cellIs" dxfId="65" priority="121" operator="equal">
      <formula>0</formula>
    </cfRule>
  </conditionalFormatting>
  <conditionalFormatting sqref="I32">
    <cfRule type="cellIs" dxfId="64" priority="93" operator="between">
      <formula>0.001</formula>
      <formula>0.01</formula>
    </cfRule>
    <cfRule type="cellIs" dxfId="63" priority="94" operator="between">
      <formula>0.1</formula>
      <formula>1</formula>
    </cfRule>
    <cfRule type="cellIs" dxfId="62" priority="95" operator="greaterThanOrEqual">
      <formula>1</formula>
    </cfRule>
    <cfRule type="cellIs" dxfId="61" priority="96" operator="between">
      <formula>0.01</formula>
      <formula>0.1</formula>
    </cfRule>
  </conditionalFormatting>
  <conditionalFormatting sqref="I32">
    <cfRule type="expression" dxfId="60" priority="91">
      <formula>I$31&gt;1</formula>
    </cfRule>
    <cfRule type="expression" dxfId="59" priority="92">
      <formula>I$31&lt;=1</formula>
    </cfRule>
  </conditionalFormatting>
  <conditionalFormatting sqref="G32">
    <cfRule type="cellIs" dxfId="58" priority="57" operator="between">
      <formula>0.001</formula>
      <formula>0.01</formula>
    </cfRule>
    <cfRule type="cellIs" dxfId="57" priority="58" operator="between">
      <formula>0.1</formula>
      <formula>1</formula>
    </cfRule>
    <cfRule type="cellIs" dxfId="56" priority="59" operator="greaterThanOrEqual">
      <formula>1</formula>
    </cfRule>
    <cfRule type="cellIs" dxfId="55" priority="60" operator="between">
      <formula>0.01</formula>
      <formula>0.1</formula>
    </cfRule>
  </conditionalFormatting>
  <conditionalFormatting sqref="G32">
    <cfRule type="expression" dxfId="54" priority="55">
      <formula>G$31&gt;1</formula>
    </cfRule>
    <cfRule type="expression" dxfId="53" priority="56">
      <formula>G$31&lt;=1</formula>
    </cfRule>
  </conditionalFormatting>
  <conditionalFormatting sqref="E32">
    <cfRule type="cellIs" dxfId="52" priority="51" operator="between">
      <formula>0.001</formula>
      <formula>0.01</formula>
    </cfRule>
    <cfRule type="cellIs" dxfId="51" priority="52" operator="between">
      <formula>0.1</formula>
      <formula>1</formula>
    </cfRule>
    <cfRule type="cellIs" dxfId="50" priority="53" operator="greaterThanOrEqual">
      <formula>1</formula>
    </cfRule>
    <cfRule type="cellIs" dxfId="49" priority="54" operator="between">
      <formula>0.01</formula>
      <formula>0.1</formula>
    </cfRule>
  </conditionalFormatting>
  <conditionalFormatting sqref="E32">
    <cfRule type="expression" dxfId="48" priority="49">
      <formula>E$31&gt;1</formula>
    </cfRule>
    <cfRule type="expression" dxfId="47" priority="50">
      <formula>E$31&lt;=1</formula>
    </cfRule>
  </conditionalFormatting>
  <conditionalFormatting sqref="C32">
    <cfRule type="cellIs" dxfId="46" priority="45" operator="between">
      <formula>0.001</formula>
      <formula>0.01</formula>
    </cfRule>
    <cfRule type="cellIs" dxfId="45" priority="46" operator="between">
      <formula>0.1</formula>
      <formula>1</formula>
    </cfRule>
    <cfRule type="cellIs" dxfId="44" priority="47" operator="greaterThanOrEqual">
      <formula>1</formula>
    </cfRule>
    <cfRule type="cellIs" dxfId="43" priority="48" operator="between">
      <formula>0.01</formula>
      <formula>0.1</formula>
    </cfRule>
  </conditionalFormatting>
  <conditionalFormatting sqref="C32">
    <cfRule type="expression" dxfId="42" priority="43">
      <formula>C$31&gt;1</formula>
    </cfRule>
    <cfRule type="expression" dxfId="41" priority="44">
      <formula>C$31&lt;=1</formula>
    </cfRule>
  </conditionalFormatting>
  <conditionalFormatting sqref="C35">
    <cfRule type="cellIs" dxfId="40" priority="39" operator="between">
      <formula>0.001</formula>
      <formula>0.01</formula>
    </cfRule>
    <cfRule type="cellIs" dxfId="39" priority="40" operator="between">
      <formula>0.1</formula>
      <formula>1</formula>
    </cfRule>
    <cfRule type="cellIs" dxfId="38" priority="41" operator="greaterThanOrEqual">
      <formula>1</formula>
    </cfRule>
    <cfRule type="cellIs" dxfId="37" priority="42" operator="between">
      <formula>0.01</formula>
      <formula>0.1</formula>
    </cfRule>
  </conditionalFormatting>
  <conditionalFormatting sqref="C35">
    <cfRule type="expression" dxfId="36" priority="37">
      <formula>C$31&gt;1</formula>
    </cfRule>
    <cfRule type="expression" dxfId="35" priority="38">
      <formula>C$31&lt;=1</formula>
    </cfRule>
  </conditionalFormatting>
  <conditionalFormatting sqref="E35">
    <cfRule type="cellIs" dxfId="34" priority="33" operator="between">
      <formula>0.001</formula>
      <formula>0.01</formula>
    </cfRule>
    <cfRule type="cellIs" dxfId="33" priority="34" operator="between">
      <formula>0.1</formula>
      <formula>1</formula>
    </cfRule>
    <cfRule type="cellIs" dxfId="32" priority="35" operator="greaterThanOrEqual">
      <formula>1</formula>
    </cfRule>
    <cfRule type="cellIs" dxfId="31" priority="36" operator="between">
      <formula>0.01</formula>
      <formula>0.1</formula>
    </cfRule>
  </conditionalFormatting>
  <conditionalFormatting sqref="E35">
    <cfRule type="expression" dxfId="30" priority="31">
      <formula>E$31&gt;1</formula>
    </cfRule>
    <cfRule type="expression" dxfId="29" priority="32">
      <formula>E$31&lt;=1</formula>
    </cfRule>
  </conditionalFormatting>
  <conditionalFormatting sqref="G35">
    <cfRule type="cellIs" dxfId="28" priority="27" operator="between">
      <formula>0.001</formula>
      <formula>0.01</formula>
    </cfRule>
    <cfRule type="cellIs" dxfId="27" priority="28" operator="between">
      <formula>0.1</formula>
      <formula>1</formula>
    </cfRule>
    <cfRule type="cellIs" dxfId="26" priority="29" operator="greaterThanOrEqual">
      <formula>1</formula>
    </cfRule>
    <cfRule type="cellIs" dxfId="25" priority="30" operator="between">
      <formula>0.01</formula>
      <formula>0.1</formula>
    </cfRule>
  </conditionalFormatting>
  <conditionalFormatting sqref="G35">
    <cfRule type="expression" dxfId="24" priority="25">
      <formula>G$31&gt;1</formula>
    </cfRule>
    <cfRule type="expression" dxfId="23" priority="26">
      <formula>G$31&lt;=1</formula>
    </cfRule>
  </conditionalFormatting>
  <conditionalFormatting sqref="I35">
    <cfRule type="cellIs" dxfId="22" priority="21" operator="between">
      <formula>0.001</formula>
      <formula>0.01</formula>
    </cfRule>
    <cfRule type="cellIs" dxfId="21" priority="22" operator="between">
      <formula>0.1</formula>
      <formula>1</formula>
    </cfRule>
    <cfRule type="cellIs" dxfId="20" priority="23" operator="greaterThanOrEqual">
      <formula>1</formula>
    </cfRule>
    <cfRule type="cellIs" dxfId="19" priority="24" operator="between">
      <formula>0.01</formula>
      <formula>0.1</formula>
    </cfRule>
  </conditionalFormatting>
  <conditionalFormatting sqref="I35">
    <cfRule type="expression" dxfId="18" priority="19">
      <formula>I$31&gt;1</formula>
    </cfRule>
    <cfRule type="expression" dxfId="17" priority="20">
      <formula>I$31&lt;=1</formula>
    </cfRule>
  </conditionalFormatting>
  <conditionalFormatting sqref="J35">
    <cfRule type="expression" dxfId="16" priority="10">
      <formula>C35+E35+G35+I35&lt;=1</formula>
    </cfRule>
    <cfRule type="expression" dxfId="15" priority="11">
      <formula>C35+E35+G35+I35&gt;1</formula>
    </cfRule>
    <cfRule type="cellIs" dxfId="14" priority="12" operator="greaterThanOrEqual">
      <formula>10</formula>
    </cfRule>
    <cfRule type="cellIs" dxfId="13" priority="13" operator="between">
      <formula>1</formula>
      <formula>10</formula>
    </cfRule>
    <cfRule type="cellIs" dxfId="12" priority="14" operator="between">
      <formula>0.1</formula>
      <formula>1</formula>
    </cfRule>
    <cfRule type="cellIs" dxfId="11" priority="15" operator="between">
      <formula>0.001</formula>
      <formula>0.01</formula>
    </cfRule>
    <cfRule type="cellIs" dxfId="10" priority="16" operator="between">
      <formula>0</formula>
      <formula>0.001</formula>
    </cfRule>
    <cfRule type="cellIs" dxfId="9" priority="17" operator="between">
      <formula>0.01</formula>
      <formula>0.1</formula>
    </cfRule>
  </conditionalFormatting>
  <conditionalFormatting sqref="J32">
    <cfRule type="expression" dxfId="8" priority="2">
      <formula>C32+E32+G32+I32&lt;=1</formula>
    </cfRule>
    <cfRule type="expression" dxfId="7" priority="3">
      <formula>C32+E32+G32+I32&gt;1</formula>
    </cfRule>
    <cfRule type="cellIs" dxfId="6" priority="4" operator="greaterThanOrEqual">
      <formula>10</formula>
    </cfRule>
    <cfRule type="cellIs" dxfId="5" priority="5" operator="between">
      <formula>1</formula>
      <formula>10</formula>
    </cfRule>
    <cfRule type="cellIs" dxfId="4" priority="6" operator="between">
      <formula>0.1</formula>
      <formula>1</formula>
    </cfRule>
    <cfRule type="cellIs" dxfId="3" priority="7" operator="between">
      <formula>0.001</formula>
      <formula>0.01</formula>
    </cfRule>
    <cfRule type="cellIs" dxfId="2" priority="8" operator="between">
      <formula>0</formula>
      <formula>0.001</formula>
    </cfRule>
    <cfRule type="cellIs" dxfId="1" priority="9" operator="between">
      <formula>0.01</formula>
      <formula>0.1</formula>
    </cfRule>
  </conditionalFormatting>
  <conditionalFormatting sqref="A2:J35">
    <cfRule type="expression" dxfId="0" priority="1">
      <formula>$C$1&lt;&gt;""</formula>
    </cfRule>
  </conditionalFormatting>
  <pageMargins left="0.7" right="0.7" top="0.75" bottom="0.75" header="0.51180555555555496" footer="0.51180555555555496"/>
  <pageSetup paperSize="9" firstPageNumber="0" orientation="landscape" horizontalDpi="300" verticalDpi="300" r:id="rId1"/>
  <headerFooter>
    <oddFooter>&amp;C&amp;1#&amp;"Arial"&amp;10&amp;K000000---Internal Use---</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B81713-BD5B-4B5C-8FB0-7340212DB2D3}">
  <sheetPr codeName="Tabelle19"/>
  <dimension ref="A1:G54"/>
  <sheetViews>
    <sheetView workbookViewId="0"/>
  </sheetViews>
  <sheetFormatPr defaultColWidth="9.140625" defaultRowHeight="15"/>
  <cols>
    <col min="1" max="1" width="15.85546875" customWidth="1"/>
    <col min="2" max="2" width="69.28515625" customWidth="1"/>
    <col min="3" max="3" width="21" customWidth="1"/>
    <col min="4" max="4" width="17.5703125" customWidth="1"/>
    <col min="5" max="5" width="11" bestFit="1" customWidth="1"/>
  </cols>
  <sheetData>
    <row r="1" spans="1:4" ht="17.25">
      <c r="A1" s="29" t="s">
        <v>862</v>
      </c>
      <c r="B1" s="679" t="s">
        <v>863</v>
      </c>
      <c r="C1" s="677">
        <v>1.4999999999999999E-2</v>
      </c>
      <c r="D1" s="679" t="s">
        <v>864</v>
      </c>
    </row>
    <row r="2" spans="1:4" ht="17.25">
      <c r="A2" s="29" t="s">
        <v>865</v>
      </c>
      <c r="B2" s="679" t="s">
        <v>866</v>
      </c>
      <c r="C2" s="677">
        <v>1E-3</v>
      </c>
      <c r="D2" s="679" t="s">
        <v>864</v>
      </c>
    </row>
    <row r="3" spans="1:4">
      <c r="A3" s="29" t="s">
        <v>856</v>
      </c>
      <c r="B3" s="32" t="s">
        <v>867</v>
      </c>
      <c r="C3" s="677">
        <v>20</v>
      </c>
      <c r="D3" s="679" t="s">
        <v>868</v>
      </c>
    </row>
    <row r="4" spans="1:4">
      <c r="A4" s="29" t="s">
        <v>410</v>
      </c>
      <c r="B4" s="32" t="s">
        <v>869</v>
      </c>
      <c r="C4" s="677" cm="1">
        <f t="array" ref="C4">IF(OR(RIGHT(i_IndoorOutdoor,5)="dense",LEFT(i_IndoorOutdoor,2)="In"),1,IF(LEFT(i_AppEquip,15)="Vehicle-mounted",INDEX(ay_CropType,MATCH(i_CropType,key_CropType,0),9),IF(i_AppEquip="Manual-Hand held",IF(i_Season="late (dense foliage)",1,4),1)))</f>
        <v>1</v>
      </c>
      <c r="D4" s="679" t="s">
        <v>870</v>
      </c>
    </row>
    <row r="5" spans="1:4">
      <c r="A5" s="29" t="s">
        <v>871</v>
      </c>
      <c r="B5" s="32" t="s">
        <v>872</v>
      </c>
      <c r="C5" s="677">
        <v>0.27</v>
      </c>
      <c r="D5" s="679" t="s">
        <v>873</v>
      </c>
    </row>
    <row r="6" spans="1:4">
      <c r="A6" s="29" t="s">
        <v>874</v>
      </c>
      <c r="B6" s="32" t="s">
        <v>875</v>
      </c>
      <c r="C6" s="84">
        <v>0.8</v>
      </c>
      <c r="D6" s="679" t="s">
        <v>873</v>
      </c>
    </row>
    <row r="7" spans="1:4">
      <c r="A7" s="29" t="s">
        <v>876</v>
      </c>
      <c r="B7" s="32" t="s">
        <v>877</v>
      </c>
      <c r="C7" s="84">
        <v>1.25</v>
      </c>
      <c r="D7" s="679" t="s">
        <v>878</v>
      </c>
    </row>
    <row r="8" spans="1:4">
      <c r="A8" s="29" t="s">
        <v>879</v>
      </c>
      <c r="B8" s="32" t="s">
        <v>880</v>
      </c>
      <c r="C8" s="677">
        <v>60</v>
      </c>
      <c r="D8" s="679" t="s">
        <v>881</v>
      </c>
    </row>
    <row r="9" spans="1:4">
      <c r="A9" s="29" t="s">
        <v>882</v>
      </c>
      <c r="B9" s="32" t="s">
        <v>883</v>
      </c>
      <c r="C9" s="677">
        <v>10</v>
      </c>
      <c r="D9" s="679" t="s">
        <v>881</v>
      </c>
    </row>
    <row r="10" spans="1:4">
      <c r="A10" s="29" t="s">
        <v>884</v>
      </c>
      <c r="B10" s="32" t="s">
        <v>885</v>
      </c>
      <c r="C10" s="677">
        <v>5.2999999999999999E-2</v>
      </c>
      <c r="D10" s="679" t="s">
        <v>886</v>
      </c>
    </row>
    <row r="11" spans="1:4">
      <c r="A11" s="29" t="s">
        <v>887</v>
      </c>
      <c r="B11" s="32" t="s">
        <v>888</v>
      </c>
      <c r="C11" s="677">
        <v>0.22800000000000001</v>
      </c>
      <c r="D11" s="679" t="s">
        <v>886</v>
      </c>
    </row>
    <row r="12" spans="1:4">
      <c r="A12" s="29" t="s">
        <v>889</v>
      </c>
      <c r="B12" s="32" t="s">
        <v>890</v>
      </c>
      <c r="C12" s="677">
        <v>2</v>
      </c>
      <c r="D12" s="679" t="s">
        <v>317</v>
      </c>
    </row>
    <row r="13" spans="1:4">
      <c r="A13" s="29" t="s">
        <v>891</v>
      </c>
      <c r="B13" s="32" t="s">
        <v>892</v>
      </c>
      <c r="C13" s="677">
        <v>20</v>
      </c>
      <c r="D13" s="679" t="s">
        <v>893</v>
      </c>
    </row>
    <row r="14" spans="1:4">
      <c r="A14" s="29" t="s">
        <v>894</v>
      </c>
      <c r="B14" s="32" t="s">
        <v>895</v>
      </c>
      <c r="C14" s="677">
        <v>14500</v>
      </c>
      <c r="D14" s="679" t="s">
        <v>320</v>
      </c>
    </row>
    <row r="15" spans="1:4">
      <c r="A15" s="29" t="s">
        <v>896</v>
      </c>
      <c r="B15" s="32" t="s">
        <v>897</v>
      </c>
      <c r="C15" s="677">
        <v>5200</v>
      </c>
      <c r="D15" s="679" t="s">
        <v>320</v>
      </c>
    </row>
    <row r="16" spans="1:4">
      <c r="A16" s="82" t="s">
        <v>845</v>
      </c>
      <c r="B16" s="32" t="s">
        <v>898</v>
      </c>
      <c r="C16" s="75">
        <v>0.18</v>
      </c>
      <c r="D16" s="32"/>
    </row>
    <row r="17" spans="1:7">
      <c r="A17" s="82"/>
      <c r="B17" s="32"/>
      <c r="C17" s="677">
        <f>i_SubstName1</f>
        <v>0</v>
      </c>
      <c r="D17" s="677">
        <f>i_SubstName2</f>
        <v>0</v>
      </c>
      <c r="E17" s="677">
        <f>i_SubstName3</f>
        <v>0</v>
      </c>
      <c r="F17" s="677">
        <f>i_SubstName4</f>
        <v>0</v>
      </c>
    </row>
    <row r="18" spans="1:7">
      <c r="A18" s="29" t="s">
        <v>899</v>
      </c>
      <c r="B18" s="679" t="s">
        <v>900</v>
      </c>
      <c r="C18" s="677" t="e">
        <f>IF(i_FormVal="Granules, fine granules","N/A",(i_AppRateAS1/i_MinVol)*1000)</f>
        <v>#DIV/0!</v>
      </c>
      <c r="D18" s="677" t="e">
        <f>IF(i_FormVal="Granules, fine granules","N/A",(i_AppRateAS2/i_MinVol)*1000)</f>
        <v>#DIV/0!</v>
      </c>
      <c r="E18" s="677" t="e">
        <f>IF(i_FormVal="Granules, fine granules","N/A",(i_AppRateAS3/i_MinVol)*1000)</f>
        <v>#DIV/0!</v>
      </c>
      <c r="F18" s="677" t="e">
        <f>IF(i_FormVal="Granules, fine granules","N/A",(i_AppRateAS4/i_MinVol)*1000)</f>
        <v>#DIV/0!</v>
      </c>
      <c r="G18" s="679" t="str">
        <f>IF(i_FormVal="Granules, fine granules","N/A","g a.s./L")</f>
        <v>g a.s./L</v>
      </c>
    </row>
    <row r="19" spans="1:7">
      <c r="A19" s="82" t="s">
        <v>901</v>
      </c>
      <c r="B19" s="679" t="s">
        <v>902</v>
      </c>
      <c r="C19" s="677">
        <f>i_AppRateAS1*IF(i_DFR1&gt;0,i_DFR1,3)</f>
        <v>0</v>
      </c>
      <c r="D19" s="677">
        <f>i_AppRateAS2*IF(i_DFR2&gt;0,i_DFR2,3)</f>
        <v>0</v>
      </c>
      <c r="E19" s="677">
        <f>i_AppRateAS3*IF(i_DFR3&gt;0,i_DFR3,3)</f>
        <v>0</v>
      </c>
      <c r="F19" s="677">
        <f>i_AppRateAS4*IF(i_DFR4&gt;0,i_DFR4,3)</f>
        <v>0</v>
      </c>
      <c r="G19" s="10" t="s">
        <v>903</v>
      </c>
    </row>
    <row r="20" spans="1:7">
      <c r="A20" s="82" t="s">
        <v>843</v>
      </c>
      <c r="B20" s="679" t="s">
        <v>904</v>
      </c>
      <c r="C20" s="677">
        <f>i_AppRateAS1*d_Turf*10</f>
        <v>0</v>
      </c>
      <c r="D20" s="677">
        <f>i_AppRateAS2*d_Turf*10</f>
        <v>0</v>
      </c>
      <c r="E20" s="677">
        <f>i_AppRateAS3*d_Turf*10</f>
        <v>0</v>
      </c>
      <c r="F20" s="677">
        <f>i_AppRateAS4*d_Turf*10</f>
        <v>0</v>
      </c>
      <c r="G20" s="10" t="s">
        <v>903</v>
      </c>
    </row>
    <row r="21" spans="1:7">
      <c r="A21" s="82" t="s">
        <v>905</v>
      </c>
      <c r="B21" s="679" t="s">
        <v>906</v>
      </c>
      <c r="C21" s="677">
        <f>i_AppRateAS1/100/d_soilDepth</f>
        <v>0</v>
      </c>
      <c r="D21" s="677">
        <f>i_AppRateAS2/100/d_soilDepth</f>
        <v>0</v>
      </c>
      <c r="E21" s="677">
        <f>i_AppRateAS3/100/d_soilDepth</f>
        <v>0</v>
      </c>
      <c r="F21" s="677">
        <f>i_AppRateAS4/100/d_soilDepth</f>
        <v>0</v>
      </c>
      <c r="G21" s="10" t="s">
        <v>907</v>
      </c>
    </row>
    <row r="22" spans="1:7">
      <c r="A22" s="82" t="s">
        <v>908</v>
      </c>
      <c r="B22" s="679" t="s">
        <v>909</v>
      </c>
      <c r="C22" s="425">
        <f>ConcSoil1*d_InhalDustExp/d_soilDensity</f>
        <v>0</v>
      </c>
      <c r="D22" s="425">
        <f>ConcSoil2*d_InhalDustExp/d_soilDensity</f>
        <v>0</v>
      </c>
      <c r="E22" s="425">
        <f>ConcSoil3*d_InhalDustExp/d_soilDensity</f>
        <v>0</v>
      </c>
      <c r="F22" s="425">
        <f>ConcSoil4*d_InhalDustExp/d_soilDensity</f>
        <v>0</v>
      </c>
      <c r="G22" s="10" t="s">
        <v>907</v>
      </c>
    </row>
    <row r="23" spans="1:7">
      <c r="A23" s="82" t="s">
        <v>529</v>
      </c>
      <c r="B23" s="679" t="s">
        <v>910</v>
      </c>
      <c r="C23" s="677" t="str">
        <f>IF(AND(i_VP1&lt;&gt;0,i_MW1&lt;&gt;0),0.41*i_VP1*i_MW1,"N/A")</f>
        <v>N/A</v>
      </c>
      <c r="D23" s="677" t="str">
        <f>IF(AND(i_VP2&lt;&gt;0,i_MW2&lt;&gt;0),0.41*i_VP2*i_MW2,"N/A")</f>
        <v>N/A</v>
      </c>
      <c r="E23" s="677" t="str">
        <f>IF(AND(i_VP3&lt;&gt;0,i_MW3&lt;&gt;0),0.41*i_VP3*i_MW3,"N/A")</f>
        <v>N/A</v>
      </c>
      <c r="F23" s="677" t="str">
        <f>IF(AND(i_VP4&lt;&gt;0,i_MW4&lt;&gt;0),0.41*i_VP4*i_MW4,"N/A")</f>
        <v>N/A</v>
      </c>
      <c r="G23" s="10" t="s">
        <v>907</v>
      </c>
    </row>
    <row r="24" spans="1:7">
      <c r="A24" s="82" t="s">
        <v>522</v>
      </c>
      <c r="B24" s="679" t="s">
        <v>911</v>
      </c>
      <c r="C24" s="83">
        <f>IF(i_DT50_1&gt;0,i_DT50_1,30)</f>
        <v>30</v>
      </c>
      <c r="D24" s="83">
        <f>IF(i_DT50_2&gt;0,i_DT50_2,30)</f>
        <v>30</v>
      </c>
      <c r="E24" s="83">
        <f>IF(i_DT50_3&gt;0,i_DT50_3,30)</f>
        <v>30</v>
      </c>
      <c r="F24" s="83">
        <f>IF(i_DT50_4&gt;0,i_DT50_4,30)</f>
        <v>30</v>
      </c>
      <c r="G24" s="32" t="s">
        <v>337</v>
      </c>
    </row>
    <row r="25" spans="1:7">
      <c r="A25" s="82" t="s">
        <v>533</v>
      </c>
      <c r="B25" s="679" t="s">
        <v>532</v>
      </c>
      <c r="C25" s="84">
        <f>ROUND((1-(EXP(-(i_AppNo*i_AppInt*(LN(2)/d_HalflifeAS1)))))/(1-(EXP(-(i_AppInt*(LN(2)/d_HalflifeAS1))))),2)</f>
        <v>1</v>
      </c>
      <c r="D25" s="84">
        <f>ROUND((1-(EXP(-(i_AppNo*i_AppInt*(LN(2)/d_HalflifeAS2)))))/(1-(EXP(-(i_AppInt*(LN(2)/d_HalflifeAS2))))),2)</f>
        <v>1</v>
      </c>
      <c r="E25" s="84">
        <f>ROUND((1-(EXP(-(i_AppNo*i_AppInt*(LN(2)/d_HalflifeAS3)))))/(1-(EXP(-(i_AppInt*(LN(2)/d_HalflifeAS3))))),2)</f>
        <v>1</v>
      </c>
      <c r="F25" s="84">
        <f>ROUND((1-(EXP(-(i_AppNo*i_AppInt*(LN(2)/d_HalflifeAS4)))))/(1-(EXP(-(i_AppInt*(LN(2)/d_HalflifeAS4))))),2)</f>
        <v>1</v>
      </c>
    </row>
    <row r="26" spans="1:7">
      <c r="A26" s="82" t="s">
        <v>541</v>
      </c>
      <c r="B26" s="32" t="s">
        <v>912</v>
      </c>
      <c r="C26" s="84" t="e">
        <f>INDEX(ay_Worker_activity,MATCH(sys_keyworker,key_worker_activity,0),14)</f>
        <v>#N/A</v>
      </c>
      <c r="D26" s="32" t="s">
        <v>913</v>
      </c>
    </row>
    <row r="27" spans="1:7">
      <c r="A27" s="29" t="s">
        <v>914</v>
      </c>
      <c r="B27" s="32" t="s">
        <v>915</v>
      </c>
      <c r="C27" s="75">
        <v>0.2</v>
      </c>
      <c r="D27" s="30"/>
    </row>
    <row r="28" spans="1:7">
      <c r="A28" s="29" t="s">
        <v>860</v>
      </c>
      <c r="B28" s="32" t="s">
        <v>916</v>
      </c>
      <c r="C28" s="83">
        <v>25</v>
      </c>
      <c r="D28" s="679" t="s">
        <v>917</v>
      </c>
    </row>
    <row r="29" spans="1:7">
      <c r="A29" s="29" t="s">
        <v>918</v>
      </c>
      <c r="B29" s="32" t="s">
        <v>919</v>
      </c>
      <c r="C29" s="83">
        <v>2</v>
      </c>
      <c r="D29" s="679" t="s">
        <v>317</v>
      </c>
    </row>
    <row r="30" spans="1:7">
      <c r="A30" s="29" t="s">
        <v>920</v>
      </c>
      <c r="B30" s="32" t="s">
        <v>921</v>
      </c>
      <c r="C30" s="677">
        <v>24</v>
      </c>
      <c r="D30" s="679" t="s">
        <v>317</v>
      </c>
    </row>
    <row r="31" spans="1:7">
      <c r="A31" s="29" t="s">
        <v>922</v>
      </c>
      <c r="B31" s="32" t="s">
        <v>923</v>
      </c>
      <c r="C31" s="677">
        <v>0.25</v>
      </c>
      <c r="D31" s="679" t="s">
        <v>317</v>
      </c>
    </row>
    <row r="32" spans="1:7" ht="17.25" customHeight="1">
      <c r="A32" s="29" t="s">
        <v>858</v>
      </c>
      <c r="B32" s="32" t="s">
        <v>892</v>
      </c>
      <c r="C32" s="677">
        <v>9.5</v>
      </c>
      <c r="D32" s="679" t="s">
        <v>893</v>
      </c>
    </row>
    <row r="33" spans="1:4">
      <c r="A33" s="29" t="s">
        <v>850</v>
      </c>
      <c r="B33" s="32" t="s">
        <v>895</v>
      </c>
      <c r="C33" s="677">
        <v>7300</v>
      </c>
      <c r="D33" s="679" t="s">
        <v>320</v>
      </c>
    </row>
    <row r="34" spans="1:4">
      <c r="A34" s="29" t="s">
        <v>852</v>
      </c>
      <c r="B34" s="32" t="s">
        <v>897</v>
      </c>
      <c r="C34" s="677">
        <v>2600</v>
      </c>
      <c r="D34" s="679" t="s">
        <v>320</v>
      </c>
    </row>
    <row r="35" spans="1:4">
      <c r="A35" s="29" t="s">
        <v>854</v>
      </c>
      <c r="B35" s="32" t="s">
        <v>853</v>
      </c>
      <c r="C35" s="75">
        <v>0.5</v>
      </c>
      <c r="D35" s="30"/>
    </row>
    <row r="36" spans="1:4">
      <c r="A36" s="29" t="s">
        <v>924</v>
      </c>
      <c r="B36" s="32" t="s">
        <v>925</v>
      </c>
      <c r="C36" s="677">
        <v>820</v>
      </c>
      <c r="D36" s="30" t="s">
        <v>868</v>
      </c>
    </row>
    <row r="37" spans="1:4">
      <c r="A37" s="29" t="s">
        <v>926</v>
      </c>
      <c r="B37" s="32" t="s">
        <v>927</v>
      </c>
      <c r="C37" s="677">
        <v>0.44</v>
      </c>
      <c r="D37" s="30" t="s">
        <v>928</v>
      </c>
    </row>
    <row r="38" spans="1:4">
      <c r="A38" s="29" t="s">
        <v>929</v>
      </c>
      <c r="B38" s="32" t="s">
        <v>930</v>
      </c>
      <c r="C38" s="83">
        <v>5</v>
      </c>
      <c r="D38" s="30" t="s">
        <v>931</v>
      </c>
    </row>
    <row r="39" spans="1:4">
      <c r="A39" s="29" t="s">
        <v>932</v>
      </c>
      <c r="B39" s="32" t="s">
        <v>933</v>
      </c>
      <c r="C39" s="83">
        <v>1500</v>
      </c>
      <c r="D39" s="30" t="s">
        <v>934</v>
      </c>
    </row>
    <row r="40" spans="1:4">
      <c r="A40" s="29" t="s">
        <v>935</v>
      </c>
      <c r="B40" s="32" t="s">
        <v>936</v>
      </c>
      <c r="C40" s="424">
        <v>98.6</v>
      </c>
      <c r="D40" s="30" t="s">
        <v>907</v>
      </c>
    </row>
    <row r="41" spans="1:4">
      <c r="A41" s="29" t="s">
        <v>937</v>
      </c>
      <c r="B41" s="32" t="s">
        <v>938</v>
      </c>
      <c r="C41" s="677">
        <v>7500</v>
      </c>
      <c r="D41" s="679" t="s">
        <v>320</v>
      </c>
    </row>
    <row r="42" spans="1:4">
      <c r="A42" s="29" t="s">
        <v>939</v>
      </c>
      <c r="B42" s="32" t="s">
        <v>940</v>
      </c>
      <c r="C42" s="677">
        <f>d_TcEntryAd*0.3</f>
        <v>2250</v>
      </c>
      <c r="D42" s="679" t="s">
        <v>320</v>
      </c>
    </row>
    <row r="43" spans="1:4">
      <c r="A43" s="29" t="s">
        <v>941</v>
      </c>
      <c r="B43" s="32" t="s">
        <v>942</v>
      </c>
      <c r="C43" s="677">
        <v>5980</v>
      </c>
      <c r="D43" s="679" t="s">
        <v>320</v>
      </c>
    </row>
    <row r="44" spans="1:4">
      <c r="A44" s="29" t="s">
        <v>943</v>
      </c>
      <c r="B44" s="32" t="s">
        <v>944</v>
      </c>
      <c r="C44" s="677">
        <f>d_TcEntryMeanAd*0.3</f>
        <v>1794</v>
      </c>
      <c r="D44" s="679" t="s">
        <v>320</v>
      </c>
    </row>
    <row r="45" spans="1:4">
      <c r="A45" s="29" t="s">
        <v>848</v>
      </c>
      <c r="B45" s="32" t="s">
        <v>847</v>
      </c>
      <c r="C45" s="75">
        <f>IF(i_FormVal="Granules, fine granules",0.01,0.05)</f>
        <v>0.05</v>
      </c>
      <c r="D45" s="30"/>
    </row>
    <row r="46" spans="1:4">
      <c r="A46" s="29" t="s">
        <v>945</v>
      </c>
      <c r="B46" s="679" t="s">
        <v>946</v>
      </c>
      <c r="C46" s="677" cm="1">
        <f t="array" ref="C46">IF(i_IndoorOutdoor='Look up'!A19,1.5,IF(i_IndoorOutdoor="IndoorDense",IF(I_PPE_appl="Rain suit &amp; trousers",0.086,0.075),0.6))</f>
        <v>0.6</v>
      </c>
      <c r="D46" s="679" t="s">
        <v>881</v>
      </c>
    </row>
    <row r="47" spans="1:4">
      <c r="A47" s="29" t="s">
        <v>947</v>
      </c>
      <c r="B47" s="679" t="s">
        <v>948</v>
      </c>
      <c r="C47" s="85">
        <f>IF(RIGHT(MLHeadResPPE,6)="shield",-1.67,0)</f>
        <v>0</v>
      </c>
      <c r="D47" s="679"/>
    </row>
    <row r="48" spans="1:4">
      <c r="A48" s="29" t="s">
        <v>949</v>
      </c>
      <c r="B48" s="679" t="s">
        <v>950</v>
      </c>
      <c r="C48" s="85">
        <f>IF(RIGHT(MLHeadResPPE,6)="shield",-1.16,0)</f>
        <v>0</v>
      </c>
      <c r="D48" s="679"/>
    </row>
    <row r="49" spans="1:4">
      <c r="A49" s="29" t="s">
        <v>951</v>
      </c>
      <c r="B49" s="679" t="s">
        <v>952</v>
      </c>
      <c r="C49" s="425">
        <f>d_handSoilLoading/d_soilDensity</f>
        <v>2.9333333333333333E-4</v>
      </c>
      <c r="D49" s="679" t="s">
        <v>931</v>
      </c>
    </row>
    <row r="50" spans="1:4">
      <c r="A50" s="29" t="s">
        <v>953</v>
      </c>
      <c r="B50" s="679" t="s">
        <v>954</v>
      </c>
      <c r="C50" s="647" t="str">
        <f>i_IndoorOutdoor&amp;i_FormVal&amp;i_AppMeth&amp;i_AppEquip</f>
        <v/>
      </c>
      <c r="D50" s="679"/>
    </row>
    <row r="51" spans="1:4">
      <c r="A51" s="29" t="s">
        <v>955</v>
      </c>
      <c r="B51" s="679" t="s">
        <v>956</v>
      </c>
      <c r="C51" s="677">
        <f>IF(i_FormVal='Look up'!A5,2,1)</f>
        <v>1</v>
      </c>
      <c r="D51" s="679"/>
    </row>
    <row r="54" spans="1:4">
      <c r="C54" s="123"/>
    </row>
  </sheetData>
  <sheetProtection algorithmName="SHA-512" hashValue="Ni87oUWH2D9bk9JCiqrSbBoUW1JayQhPHEKurAKuiy4cVInYDL7jzNL4q1jHfbLPNz+ags/ZEimnQIO4z4icqQ==" saltValue="KbyMAZaP5JEcrT0dvvqbqg==" spinCount="100000" sheet="1" objects="1" scenarios="1"/>
  <pageMargins left="0.7" right="0.7" top="0.75" bottom="0.75" header="0.51180555555555496" footer="0.51180555555555496"/>
  <pageSetup paperSize="9" firstPageNumber="0" orientation="portrait" horizontalDpi="300" verticalDpi="300" r:id="rId1"/>
  <headerFooter>
    <oddFooter>&amp;C&amp;1#&amp;"Arial"&amp;10&amp;K000000---Internal Use---</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7BB0B92F811C94AA517913494A1865D" ma:contentTypeVersion="16" ma:contentTypeDescription="Crée un document." ma:contentTypeScope="" ma:versionID="415a4d72720e1ba304a721184e1d9d45">
  <xsd:schema xmlns:xsd="http://www.w3.org/2001/XMLSchema" xmlns:xs="http://www.w3.org/2001/XMLSchema" xmlns:p="http://schemas.microsoft.com/office/2006/metadata/properties" xmlns:ns2="3fe52c6e-9ed1-4669-8ea3-67932c34536c" xmlns:ns3="5e84cb02-4e0e-4a00-8556-c1e7b671772a" targetNamespace="http://schemas.microsoft.com/office/2006/metadata/properties" ma:root="true" ma:fieldsID="dcd480b2d94104f9e31959ede943eb2b" ns2:_="" ns3:_="">
    <xsd:import namespace="3fe52c6e-9ed1-4669-8ea3-67932c34536c"/>
    <xsd:import namespace="5e84cb02-4e0e-4a00-8556-c1e7b671772a"/>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LengthInSeconds" minOccurs="0"/>
                <xsd:element ref="ns2:MediaServiceLocation" minOccurs="0"/>
                <xsd:element ref="ns2:MediaServiceOCR" minOccurs="0"/>
                <xsd:element ref="ns2:MediaServiceGenerationTime" minOccurs="0"/>
                <xsd:element ref="ns2:MediaServiceEventHashCode"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fe52c6e-9ed1-4669-8ea3-67932c34536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MediaServiceLocation" ma:index="14" nillable="true" ma:displayName="Location" ma:internalName="MediaServiceLocatio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lcf76f155ced4ddcb4097134ff3c332f" ma:index="19" nillable="true" ma:taxonomy="true" ma:internalName="lcf76f155ced4ddcb4097134ff3c332f" ma:taxonomyFieldName="MediaServiceImageTags" ma:displayName="Balises d’images" ma:readOnly="false" ma:fieldId="{5cf76f15-5ced-4ddc-b409-7134ff3c332f}" ma:taxonomyMulti="true" ma:sspId="df35f399-9cb8-4311-9a40-44f81dfe51b6"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1" nillable="true" ma:displayName="MediaServiceObjectDetectorVersions" ma:hidden="true" ma:indexed="true" ma:internalName="MediaServiceObjectDetectorVersions"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5e84cb02-4e0e-4a00-8556-c1e7b671772a" elementFormDefault="qualified">
    <xsd:import namespace="http://schemas.microsoft.com/office/2006/documentManagement/types"/>
    <xsd:import namespace="http://schemas.microsoft.com/office/infopath/2007/PartnerControls"/>
    <xsd:element name="TaxCatchAll" ma:index="20" nillable="true" ma:displayName="Taxonomy Catch All Column" ma:hidden="true" ma:list="{d82347cb-d980-489b-b16d-1dc4befc57a4}" ma:internalName="TaxCatchAll" ma:showField="CatchAllData" ma:web="5e84cb02-4e0e-4a00-8556-c1e7b671772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 
</file>

<file path=customXml/item4.xml><?xml version="1.0" encoding="utf-8"?>
<p:properties xmlns:p="http://schemas.microsoft.com/office/2006/metadata/properties" xmlns:xsi="http://www.w3.org/2001/XMLSchema-instance" xmlns:pc="http://schemas.microsoft.com/office/infopath/2007/PartnerControls">
  <documentManagement>
    <TaxCatchAll xmlns="5e84cb02-4e0e-4a00-8556-c1e7b671772a" xsi:nil="true"/>
    <lcf76f155ced4ddcb4097134ff3c332f xmlns="3fe52c6e-9ed1-4669-8ea3-67932c34536c">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0C8E4E7-048A-42A8-8254-BF7888A7CB96}"/>
</file>

<file path=customXml/itemProps2.xml><?xml version="1.0" encoding="utf-8"?>
<ds:datastoreItem xmlns:ds="http://schemas.openxmlformats.org/officeDocument/2006/customXml" ds:itemID="{039DD743-DCE6-4168-9B1A-CCE21B3B93E1}"/>
</file>

<file path=customXml/itemProps3.xml><?xml version="1.0" encoding="utf-8"?>
<ds:datastoreItem xmlns:ds="http://schemas.openxmlformats.org/officeDocument/2006/customXml" ds:itemID="{DA12DE19-8897-4B33-BC94-518D4C716FE4}"/>
</file>

<file path=customXml/itemProps4.xml><?xml version="1.0" encoding="utf-8"?>
<ds:datastoreItem xmlns:ds="http://schemas.openxmlformats.org/officeDocument/2006/customXml" ds:itemID="{AAC7B562-FE03-4149-ACC9-7C6510382BF0}"/>
</file>

<file path=docProps/app.xml><?xml version="1.0" encoding="utf-8"?>
<Properties xmlns="http://schemas.openxmlformats.org/officeDocument/2006/extended-properties" xmlns:vt="http://schemas.openxmlformats.org/officeDocument/2006/docPropsVTypes">
  <Application>Microsoft Excel Online</Application>
  <Manager/>
  <Company>EFSA</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jacoble</dc:creator>
  <cp:keywords/>
  <dc:description/>
  <cp:lastModifiedBy/>
  <cp:revision>2</cp:revision>
  <dcterms:created xsi:type="dcterms:W3CDTF">2012-06-26T12:30:14Z</dcterms:created>
  <dcterms:modified xsi:type="dcterms:W3CDTF">2026-10-29T13:25:23Z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Company">
    <vt:lpwstr>EFSA</vt:lpwstr>
  </property>
  <property fmtid="{D5CDD505-2E9C-101B-9397-08002B2CF9AE}" pid="4" name="DocSecurity">
    <vt:i4>0</vt:i4>
  </property>
  <property fmtid="{D5CDD505-2E9C-101B-9397-08002B2CF9AE}" pid="5" name="HyperlinksChanged">
    <vt:bool>false</vt:bool>
  </property>
  <property fmtid="{D5CDD505-2E9C-101B-9397-08002B2CF9AE}" pid="6" name="LinksUpToDate">
    <vt:bool>false</vt:bool>
  </property>
  <property fmtid="{D5CDD505-2E9C-101B-9397-08002B2CF9AE}" pid="7" name="ScaleCrop">
    <vt:bool>false</vt:bool>
  </property>
  <property fmtid="{D5CDD505-2E9C-101B-9397-08002B2CF9AE}" pid="8" name="ShareDoc">
    <vt:bool>false</vt:bool>
  </property>
  <property fmtid="{D5CDD505-2E9C-101B-9397-08002B2CF9AE}" pid="9" name="MSIP_Label_7f850223-87a8-40c3-9eb2-432606efca2a_Enabled">
    <vt:lpwstr>true</vt:lpwstr>
  </property>
  <property fmtid="{D5CDD505-2E9C-101B-9397-08002B2CF9AE}" pid="10" name="MSIP_Label_7f850223-87a8-40c3-9eb2-432606efca2a_SetDate">
    <vt:lpwstr>2022-12-02T10:46:27Z</vt:lpwstr>
  </property>
  <property fmtid="{D5CDD505-2E9C-101B-9397-08002B2CF9AE}" pid="11" name="MSIP_Label_7f850223-87a8-40c3-9eb2-432606efca2a_Method">
    <vt:lpwstr>Standard</vt:lpwstr>
  </property>
  <property fmtid="{D5CDD505-2E9C-101B-9397-08002B2CF9AE}" pid="12" name="MSIP_Label_7f850223-87a8-40c3-9eb2-432606efca2a_Name">
    <vt:lpwstr>7f850223-87a8-40c3-9eb2-432606efca2a</vt:lpwstr>
  </property>
  <property fmtid="{D5CDD505-2E9C-101B-9397-08002B2CF9AE}" pid="13" name="MSIP_Label_7f850223-87a8-40c3-9eb2-432606efca2a_SiteId">
    <vt:lpwstr>fcb2b37b-5da0-466b-9b83-0014b67a7c78</vt:lpwstr>
  </property>
  <property fmtid="{D5CDD505-2E9C-101B-9397-08002B2CF9AE}" pid="14" name="MSIP_Label_7f850223-87a8-40c3-9eb2-432606efca2a_ActionId">
    <vt:lpwstr>b689cabd-a1e1-4139-a9b5-0ed998641227</vt:lpwstr>
  </property>
  <property fmtid="{D5CDD505-2E9C-101B-9397-08002B2CF9AE}" pid="15" name="MSIP_Label_7f850223-87a8-40c3-9eb2-432606efca2a_ContentBits">
    <vt:lpwstr>0</vt:lpwstr>
  </property>
  <property fmtid="{D5CDD505-2E9C-101B-9397-08002B2CF9AE}" pid="16" name="ContentTypeId">
    <vt:lpwstr>0x01010037BB0B92F811C94AA517913494A1865D</vt:lpwstr>
  </property>
  <property fmtid="{D5CDD505-2E9C-101B-9397-08002B2CF9AE}" pid="17" name="MSIP_Label_0d28e344-bb15-459b-97fd-14fa06bc1052_Enabled">
    <vt:lpwstr>true</vt:lpwstr>
  </property>
  <property fmtid="{D5CDD505-2E9C-101B-9397-08002B2CF9AE}" pid="18" name="MSIP_Label_0d28e344-bb15-459b-97fd-14fa06bc1052_SetDate">
    <vt:lpwstr>2023-07-11T09:22:58Z</vt:lpwstr>
  </property>
  <property fmtid="{D5CDD505-2E9C-101B-9397-08002B2CF9AE}" pid="19" name="MSIP_Label_0d28e344-bb15-459b-97fd-14fa06bc1052_Method">
    <vt:lpwstr>Standard</vt:lpwstr>
  </property>
  <property fmtid="{D5CDD505-2E9C-101B-9397-08002B2CF9AE}" pid="20" name="MSIP_Label_0d28e344-bb15-459b-97fd-14fa06bc1052_Name">
    <vt:lpwstr>Not Protected (Internal Use)</vt:lpwstr>
  </property>
  <property fmtid="{D5CDD505-2E9C-101B-9397-08002B2CF9AE}" pid="21" name="MSIP_Label_0d28e344-bb15-459b-97fd-14fa06bc1052_SiteId">
    <vt:lpwstr>3e20ecb2-9cb0-4df1-ad7b-914e31dcdda4</vt:lpwstr>
  </property>
  <property fmtid="{D5CDD505-2E9C-101B-9397-08002B2CF9AE}" pid="22" name="MSIP_Label_0d28e344-bb15-459b-97fd-14fa06bc1052_ActionId">
    <vt:lpwstr>bfabab9e-1059-4442-926a-1a1851511916</vt:lpwstr>
  </property>
  <property fmtid="{D5CDD505-2E9C-101B-9397-08002B2CF9AE}" pid="23" name="MSIP_Label_0d28e344-bb15-459b-97fd-14fa06bc1052_ContentBits">
    <vt:lpwstr>2</vt:lpwstr>
  </property>
  <property fmtid="{D5CDD505-2E9C-101B-9397-08002B2CF9AE}" pid="24" name="MediaServiceImageTags">
    <vt:lpwstr/>
  </property>
</Properties>
</file>